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დეცენტრალიზაცია-სრული" sheetId="1" r:id="rId1"/>
    <sheet name="Sheet3" sheetId="15" r:id="rId2"/>
    <sheet name="მოსახლეობა vs აფთიაქი კერძო სექ" sheetId="10" r:id="rId3"/>
    <sheet name="მიზნობრივი ბენეფ vs აფთიაქი პრო" sheetId="11" r:id="rId4"/>
    <sheet name="აფთიაქები მეფინგი" sheetId="12" r:id="rId5"/>
    <sheet name="მედიკამენტების ხარჯვა" sheetId="7" r:id="rId6"/>
    <sheet name="მედიკამენტების ხარჯვის კომპონენ" sheetId="8" r:id="rId7"/>
    <sheet name="ბენეფიციარები" sheetId="9" r:id="rId8"/>
    <sheet name="ბენეფიციართა პროგნოზული რ-ბა" sheetId="13" r:id="rId9"/>
    <sheet name="Sheet2" sheetId="14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L81" i="15" l="1"/>
  <c r="AE45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" i="7"/>
  <c r="AD4" i="7"/>
  <c r="AB4" i="7"/>
  <c r="E32" i="12"/>
  <c r="E15" i="12"/>
  <c r="R44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3" i="14"/>
  <c r="O3" i="15"/>
  <c r="O19" i="15"/>
  <c r="O20" i="15"/>
  <c r="E35" i="11"/>
  <c r="E15" i="11"/>
  <c r="M81" i="15"/>
  <c r="O4" i="15"/>
  <c r="O5" i="15"/>
  <c r="O6" i="15"/>
  <c r="O7" i="15"/>
  <c r="O9" i="15"/>
  <c r="O10" i="15"/>
  <c r="O11" i="15"/>
  <c r="O12" i="15"/>
  <c r="O13" i="15"/>
  <c r="O14" i="15"/>
  <c r="O15" i="15"/>
  <c r="O17" i="15"/>
  <c r="O18" i="15"/>
  <c r="O22" i="15"/>
  <c r="O23" i="15"/>
  <c r="O24" i="15"/>
  <c r="O25" i="15"/>
  <c r="O26" i="15"/>
  <c r="O29" i="15"/>
  <c r="O30" i="15"/>
  <c r="O31" i="15"/>
  <c r="O32" i="15"/>
  <c r="O34" i="15"/>
  <c r="O35" i="15"/>
  <c r="O36" i="15"/>
  <c r="O37" i="15"/>
  <c r="O38" i="15"/>
  <c r="O39" i="15"/>
  <c r="O40" i="15"/>
  <c r="O41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6" i="15"/>
  <c r="O57" i="15"/>
  <c r="O58" i="15"/>
  <c r="O59" i="15"/>
  <c r="O61" i="15"/>
  <c r="O62" i="15"/>
  <c r="O63" i="15"/>
  <c r="O64" i="15"/>
  <c r="O65" i="15"/>
  <c r="O66" i="15"/>
  <c r="O67" i="15"/>
  <c r="O68" i="15"/>
  <c r="O69" i="15"/>
  <c r="O71" i="15"/>
  <c r="O72" i="15"/>
  <c r="O73" i="15"/>
  <c r="O75" i="15"/>
  <c r="O76" i="15"/>
  <c r="O77" i="15"/>
  <c r="O78" i="15"/>
  <c r="O79" i="15"/>
  <c r="O80" i="15"/>
  <c r="N81" i="15"/>
  <c r="Q26" i="15"/>
  <c r="Q73" i="15"/>
  <c r="P82" i="15"/>
  <c r="H33" i="15"/>
  <c r="G8" i="15"/>
  <c r="H8" i="15" s="1"/>
  <c r="G16" i="15"/>
  <c r="H16" i="15" s="1"/>
  <c r="G21" i="15"/>
  <c r="H21" i="15" s="1"/>
  <c r="G28" i="15"/>
  <c r="H28" i="15" s="1"/>
  <c r="G33" i="15"/>
  <c r="G42" i="15"/>
  <c r="H42" i="15" s="1"/>
  <c r="G55" i="15"/>
  <c r="H55" i="15" s="1"/>
  <c r="G56" i="15"/>
  <c r="H56" i="15" s="1"/>
  <c r="I56" i="15" s="1"/>
  <c r="G60" i="15"/>
  <c r="H60" i="15" s="1"/>
  <c r="G70" i="15"/>
  <c r="H70" i="15" s="1"/>
  <c r="G74" i="15"/>
  <c r="H74" i="15" s="1"/>
  <c r="G80" i="15"/>
  <c r="H80" i="15" s="1"/>
  <c r="I80" i="15" s="1"/>
  <c r="D80" i="15"/>
  <c r="D79" i="15"/>
  <c r="D78" i="15"/>
  <c r="D77" i="15"/>
  <c r="D76" i="15"/>
  <c r="D75" i="15"/>
  <c r="D73" i="15"/>
  <c r="D72" i="15"/>
  <c r="D71" i="15"/>
  <c r="D69" i="15"/>
  <c r="D68" i="15"/>
  <c r="D67" i="15"/>
  <c r="D66" i="15"/>
  <c r="D65" i="15"/>
  <c r="D64" i="15"/>
  <c r="D63" i="15"/>
  <c r="D62" i="15"/>
  <c r="D61" i="15"/>
  <c r="D59" i="15"/>
  <c r="D58" i="15"/>
  <c r="D57" i="15"/>
  <c r="D56" i="15"/>
  <c r="D54" i="15"/>
  <c r="D53" i="15"/>
  <c r="D52" i="15"/>
  <c r="G52" i="15" s="1"/>
  <c r="H52" i="15" s="1"/>
  <c r="I52" i="15" s="1"/>
  <c r="D51" i="15"/>
  <c r="D50" i="15"/>
  <c r="D49" i="15"/>
  <c r="D48" i="15"/>
  <c r="D47" i="15"/>
  <c r="D46" i="15"/>
  <c r="D45" i="15"/>
  <c r="D44" i="15"/>
  <c r="C44" i="15"/>
  <c r="D43" i="15"/>
  <c r="D41" i="15"/>
  <c r="D40" i="15"/>
  <c r="G40" i="15" s="1"/>
  <c r="H40" i="15" s="1"/>
  <c r="I40" i="15" s="1"/>
  <c r="D39" i="15"/>
  <c r="D38" i="15"/>
  <c r="D37" i="15"/>
  <c r="D36" i="15"/>
  <c r="D35" i="15"/>
  <c r="D34" i="15"/>
  <c r="D32" i="15"/>
  <c r="D31" i="15"/>
  <c r="D30" i="15"/>
  <c r="D29" i="15"/>
  <c r="C29" i="15"/>
  <c r="D27" i="15"/>
  <c r="G27" i="15" s="1"/>
  <c r="H27" i="15" s="1"/>
  <c r="I27" i="15" s="1"/>
  <c r="D26" i="15"/>
  <c r="D25" i="15"/>
  <c r="D24" i="15"/>
  <c r="D23" i="15"/>
  <c r="D22" i="15"/>
  <c r="D20" i="15"/>
  <c r="D19" i="15"/>
  <c r="D18" i="15"/>
  <c r="D17" i="15"/>
  <c r="D15" i="15"/>
  <c r="D14" i="15"/>
  <c r="D13" i="15"/>
  <c r="D12" i="15"/>
  <c r="D11" i="15"/>
  <c r="D10" i="15"/>
  <c r="D9" i="15"/>
  <c r="D7" i="15"/>
  <c r="C7" i="15"/>
  <c r="D6" i="15"/>
  <c r="Q6" i="15" s="1"/>
  <c r="C6" i="15"/>
  <c r="D5" i="15"/>
  <c r="C5" i="15"/>
  <c r="D4" i="15"/>
  <c r="C4" i="15"/>
  <c r="D3" i="15"/>
  <c r="C3" i="15"/>
  <c r="O3" i="1"/>
  <c r="Q4" i="14"/>
  <c r="Q8" i="14"/>
  <c r="Q12" i="14"/>
  <c r="Q16" i="14"/>
  <c r="Q20" i="14"/>
  <c r="Q24" i="14"/>
  <c r="Q28" i="14"/>
  <c r="Q32" i="14"/>
  <c r="Q36" i="14"/>
  <c r="Q40" i="14"/>
  <c r="Q44" i="14"/>
  <c r="P4" i="14"/>
  <c r="P5" i="14"/>
  <c r="Q5" i="14" s="1"/>
  <c r="P6" i="14"/>
  <c r="Q6" i="14" s="1"/>
  <c r="P7" i="14"/>
  <c r="Q7" i="14" s="1"/>
  <c r="P8" i="14"/>
  <c r="P9" i="14"/>
  <c r="Q9" i="14" s="1"/>
  <c r="P10" i="14"/>
  <c r="Q10" i="14" s="1"/>
  <c r="P11" i="14"/>
  <c r="Q11" i="14" s="1"/>
  <c r="P12" i="14"/>
  <c r="P13" i="14"/>
  <c r="Q13" i="14" s="1"/>
  <c r="P14" i="14"/>
  <c r="Q14" i="14" s="1"/>
  <c r="P15" i="14"/>
  <c r="Q15" i="14" s="1"/>
  <c r="P16" i="14"/>
  <c r="P17" i="14"/>
  <c r="Q17" i="14" s="1"/>
  <c r="P18" i="14"/>
  <c r="Q18" i="14" s="1"/>
  <c r="P19" i="14"/>
  <c r="Q19" i="14" s="1"/>
  <c r="P20" i="14"/>
  <c r="P21" i="14"/>
  <c r="Q21" i="14" s="1"/>
  <c r="P22" i="14"/>
  <c r="Q22" i="14" s="1"/>
  <c r="P23" i="14"/>
  <c r="Q23" i="14" s="1"/>
  <c r="P24" i="14"/>
  <c r="P25" i="14"/>
  <c r="Q25" i="14" s="1"/>
  <c r="P26" i="14"/>
  <c r="Q26" i="14" s="1"/>
  <c r="P27" i="14"/>
  <c r="Q27" i="14" s="1"/>
  <c r="P28" i="14"/>
  <c r="P29" i="14"/>
  <c r="Q29" i="14" s="1"/>
  <c r="P30" i="14"/>
  <c r="Q30" i="14" s="1"/>
  <c r="P31" i="14"/>
  <c r="Q31" i="14" s="1"/>
  <c r="P32" i="14"/>
  <c r="P33" i="14"/>
  <c r="Q33" i="14" s="1"/>
  <c r="P34" i="14"/>
  <c r="Q34" i="14" s="1"/>
  <c r="P35" i="14"/>
  <c r="Q35" i="14" s="1"/>
  <c r="P36" i="14"/>
  <c r="P37" i="14"/>
  <c r="Q37" i="14" s="1"/>
  <c r="P38" i="14"/>
  <c r="Q38" i="14" s="1"/>
  <c r="P39" i="14"/>
  <c r="Q39" i="14" s="1"/>
  <c r="P40" i="14"/>
  <c r="P41" i="14"/>
  <c r="Q41" i="14" s="1"/>
  <c r="P42" i="14"/>
  <c r="Q42" i="14" s="1"/>
  <c r="P43" i="14"/>
  <c r="Q43" i="14" s="1"/>
  <c r="P44" i="14"/>
  <c r="P3" i="14"/>
  <c r="Q3" i="14" s="1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3" i="14"/>
  <c r="S43" i="14"/>
  <c r="I43" i="14"/>
  <c r="H43" i="14"/>
  <c r="G43" i="14"/>
  <c r="S42" i="14"/>
  <c r="I42" i="14"/>
  <c r="H42" i="14"/>
  <c r="G42" i="14"/>
  <c r="V41" i="14"/>
  <c r="S41" i="14"/>
  <c r="I41" i="14"/>
  <c r="H41" i="14"/>
  <c r="G41" i="14"/>
  <c r="V40" i="14"/>
  <c r="S40" i="14"/>
  <c r="H40" i="14"/>
  <c r="G40" i="14"/>
  <c r="I40" i="14" s="1"/>
  <c r="S39" i="14"/>
  <c r="I39" i="14"/>
  <c r="H39" i="14"/>
  <c r="S38" i="14"/>
  <c r="I38" i="14"/>
  <c r="H38" i="14"/>
  <c r="S37" i="14"/>
  <c r="I37" i="14"/>
  <c r="H37" i="14"/>
  <c r="G37" i="14"/>
  <c r="S36" i="14"/>
  <c r="I36" i="14"/>
  <c r="H36" i="14"/>
  <c r="G36" i="14"/>
  <c r="W35" i="14"/>
  <c r="S35" i="14"/>
  <c r="H35" i="14"/>
  <c r="G35" i="14"/>
  <c r="I35" i="14" s="1"/>
  <c r="W34" i="14"/>
  <c r="S34" i="14"/>
  <c r="I34" i="14"/>
  <c r="H34" i="14"/>
  <c r="G34" i="14"/>
  <c r="W33" i="14"/>
  <c r="S33" i="14"/>
  <c r="G33" i="14"/>
  <c r="I33" i="14" s="1"/>
  <c r="D33" i="14"/>
  <c r="H33" i="14" s="1"/>
  <c r="S32" i="14"/>
  <c r="I32" i="14"/>
  <c r="H32" i="14"/>
  <c r="W31" i="14"/>
  <c r="S31" i="14"/>
  <c r="I31" i="14"/>
  <c r="H31" i="14"/>
  <c r="G31" i="14"/>
  <c r="W30" i="14"/>
  <c r="L30" i="14"/>
  <c r="H30" i="14"/>
  <c r="G30" i="14"/>
  <c r="I30" i="14" s="1"/>
  <c r="U29" i="14"/>
  <c r="W29" i="14" s="1"/>
  <c r="S29" i="14"/>
  <c r="H29" i="14"/>
  <c r="G29" i="14"/>
  <c r="E29" i="14"/>
  <c r="I29" i="14" s="1"/>
  <c r="U28" i="14"/>
  <c r="W28" i="14" s="1"/>
  <c r="S28" i="14"/>
  <c r="H28" i="14"/>
  <c r="G28" i="14"/>
  <c r="I28" i="14" s="1"/>
  <c r="W27" i="14"/>
  <c r="U27" i="14"/>
  <c r="S27" i="14"/>
  <c r="I27" i="14"/>
  <c r="H27" i="14"/>
  <c r="G27" i="14"/>
  <c r="U26" i="14"/>
  <c r="W26" i="14" s="1"/>
  <c r="S26" i="14"/>
  <c r="I26" i="14"/>
  <c r="H26" i="14"/>
  <c r="G26" i="14"/>
  <c r="U25" i="14"/>
  <c r="W25" i="14" s="1"/>
  <c r="H25" i="14"/>
  <c r="G25" i="14"/>
  <c r="S25" i="14" s="1"/>
  <c r="S24" i="14"/>
  <c r="I24" i="14"/>
  <c r="H24" i="14"/>
  <c r="S23" i="14"/>
  <c r="I23" i="14"/>
  <c r="H23" i="14"/>
  <c r="S22" i="14"/>
  <c r="I22" i="14"/>
  <c r="D22" i="14"/>
  <c r="H22" i="14" s="1"/>
  <c r="S21" i="14"/>
  <c r="I21" i="14"/>
  <c r="H21" i="14"/>
  <c r="S20" i="14"/>
  <c r="I20" i="14"/>
  <c r="H20" i="14"/>
  <c r="S19" i="14"/>
  <c r="I19" i="14"/>
  <c r="H19" i="14"/>
  <c r="S18" i="14"/>
  <c r="I18" i="14"/>
  <c r="H18" i="14"/>
  <c r="S17" i="14"/>
  <c r="I17" i="14"/>
  <c r="H17" i="14"/>
  <c r="G17" i="14"/>
  <c r="S16" i="14"/>
  <c r="I16" i="14"/>
  <c r="H16" i="14"/>
  <c r="G16" i="14"/>
  <c r="S15" i="14"/>
  <c r="I15" i="14"/>
  <c r="H15" i="14"/>
  <c r="G15" i="14"/>
  <c r="S14" i="14"/>
  <c r="I14" i="14"/>
  <c r="H14" i="14"/>
  <c r="G14" i="14"/>
  <c r="S13" i="14"/>
  <c r="I13" i="14"/>
  <c r="H13" i="14"/>
  <c r="G13" i="14"/>
  <c r="U12" i="14"/>
  <c r="W12" i="14" s="1"/>
  <c r="S12" i="14"/>
  <c r="I12" i="14"/>
  <c r="H12" i="14"/>
  <c r="G12" i="14"/>
  <c r="U11" i="14"/>
  <c r="W11" i="14" s="1"/>
  <c r="H11" i="14"/>
  <c r="G11" i="14"/>
  <c r="S11" i="14" s="1"/>
  <c r="D11" i="14"/>
  <c r="S10" i="14"/>
  <c r="I10" i="14"/>
  <c r="H10" i="14"/>
  <c r="G10" i="14"/>
  <c r="W9" i="14"/>
  <c r="S9" i="14"/>
  <c r="H9" i="14"/>
  <c r="G9" i="14"/>
  <c r="I9" i="14" s="1"/>
  <c r="S8" i="14"/>
  <c r="H8" i="14"/>
  <c r="G8" i="14"/>
  <c r="I8" i="14" s="1"/>
  <c r="W7" i="14"/>
  <c r="S7" i="14"/>
  <c r="I7" i="14"/>
  <c r="H7" i="14"/>
  <c r="G7" i="14"/>
  <c r="S6" i="14"/>
  <c r="I6" i="14"/>
  <c r="H6" i="14"/>
  <c r="G6" i="14"/>
  <c r="U5" i="14"/>
  <c r="W5" i="14" s="1"/>
  <c r="M5" i="14"/>
  <c r="G5" i="14" s="1"/>
  <c r="H5" i="14"/>
  <c r="D5" i="14"/>
  <c r="S4" i="14"/>
  <c r="I4" i="14"/>
  <c r="H4" i="14"/>
  <c r="G4" i="14"/>
  <c r="W3" i="14"/>
  <c r="H3" i="14"/>
  <c r="G3" i="14"/>
  <c r="S3" i="14" s="1"/>
  <c r="G76" i="15" l="1"/>
  <c r="H76" i="15" s="1"/>
  <c r="I76" i="15" s="1"/>
  <c r="G68" i="15"/>
  <c r="H68" i="15" s="1"/>
  <c r="I68" i="15" s="1"/>
  <c r="G24" i="15"/>
  <c r="H24" i="15" s="1"/>
  <c r="I24" i="15" s="1"/>
  <c r="G12" i="15"/>
  <c r="H12" i="15" s="1"/>
  <c r="I12" i="15" s="1"/>
  <c r="Q67" i="15"/>
  <c r="Q45" i="15"/>
  <c r="Q19" i="15"/>
  <c r="Q49" i="15"/>
  <c r="G64" i="15"/>
  <c r="H64" i="15" s="1"/>
  <c r="I64" i="15" s="1"/>
  <c r="Q61" i="15"/>
  <c r="Q39" i="15"/>
  <c r="Q12" i="15"/>
  <c r="G72" i="15"/>
  <c r="H72" i="15" s="1"/>
  <c r="I72" i="15" s="1"/>
  <c r="G44" i="15"/>
  <c r="H44" i="15" s="1"/>
  <c r="I44" i="15" s="1"/>
  <c r="G32" i="15"/>
  <c r="H32" i="15" s="1"/>
  <c r="I32" i="15" s="1"/>
  <c r="G20" i="15"/>
  <c r="H20" i="15" s="1"/>
  <c r="I20" i="15" s="1"/>
  <c r="G4" i="15"/>
  <c r="H4" i="15" s="1"/>
  <c r="I4" i="15" s="1"/>
  <c r="Q5" i="15"/>
  <c r="Q53" i="15"/>
  <c r="Q35" i="15"/>
  <c r="O81" i="15"/>
  <c r="Q9" i="15"/>
  <c r="G9" i="15"/>
  <c r="H9" i="15" s="1"/>
  <c r="I9" i="15" s="1"/>
  <c r="G13" i="15"/>
  <c r="H13" i="15" s="1"/>
  <c r="I13" i="15" s="1"/>
  <c r="G18" i="15"/>
  <c r="H18" i="15" s="1"/>
  <c r="I18" i="15" s="1"/>
  <c r="Q18" i="15"/>
  <c r="Q23" i="15"/>
  <c r="G23" i="15"/>
  <c r="H23" i="15" s="1"/>
  <c r="I23" i="15" s="1"/>
  <c r="G31" i="15"/>
  <c r="H31" i="15" s="1"/>
  <c r="I31" i="15" s="1"/>
  <c r="Q36" i="15"/>
  <c r="Q40" i="15"/>
  <c r="Q48" i="15"/>
  <c r="Q52" i="15"/>
  <c r="G57" i="15"/>
  <c r="H57" i="15" s="1"/>
  <c r="I57" i="15" s="1"/>
  <c r="Q62" i="15"/>
  <c r="G62" i="15"/>
  <c r="H62" i="15" s="1"/>
  <c r="I62" i="15" s="1"/>
  <c r="G66" i="15"/>
  <c r="H66" i="15" s="1"/>
  <c r="I66" i="15" s="1"/>
  <c r="Q71" i="15"/>
  <c r="G71" i="15"/>
  <c r="H71" i="15" s="1"/>
  <c r="I71" i="15" s="1"/>
  <c r="G48" i="15"/>
  <c r="H48" i="15" s="1"/>
  <c r="I48" i="15" s="1"/>
  <c r="G36" i="15"/>
  <c r="H36" i="15" s="1"/>
  <c r="I36" i="15" s="1"/>
  <c r="G3" i="15"/>
  <c r="H3" i="15" s="1"/>
  <c r="I3" i="15" s="1"/>
  <c r="G79" i="15"/>
  <c r="H79" i="15" s="1"/>
  <c r="I79" i="15" s="1"/>
  <c r="G75" i="15"/>
  <c r="H75" i="15" s="1"/>
  <c r="I75" i="15" s="1"/>
  <c r="G67" i="15"/>
  <c r="H67" i="15" s="1"/>
  <c r="I67" i="15" s="1"/>
  <c r="G63" i="15"/>
  <c r="H63" i="15" s="1"/>
  <c r="I63" i="15" s="1"/>
  <c r="G59" i="15"/>
  <c r="H59" i="15" s="1"/>
  <c r="I59" i="15" s="1"/>
  <c r="G51" i="15"/>
  <c r="H51" i="15" s="1"/>
  <c r="I51" i="15" s="1"/>
  <c r="G47" i="15"/>
  <c r="H47" i="15" s="1"/>
  <c r="I47" i="15" s="1"/>
  <c r="G43" i="15"/>
  <c r="H43" i="15" s="1"/>
  <c r="I43" i="15" s="1"/>
  <c r="G39" i="15"/>
  <c r="H39" i="15" s="1"/>
  <c r="I39" i="15" s="1"/>
  <c r="G35" i="15"/>
  <c r="H35" i="15" s="1"/>
  <c r="I35" i="15" s="1"/>
  <c r="G19" i="15"/>
  <c r="H19" i="15" s="1"/>
  <c r="I19" i="15" s="1"/>
  <c r="G15" i="15"/>
  <c r="H15" i="15" s="1"/>
  <c r="I15" i="15" s="1"/>
  <c r="G11" i="15"/>
  <c r="H11" i="15" s="1"/>
  <c r="I11" i="15" s="1"/>
  <c r="G7" i="15"/>
  <c r="H7" i="15" s="1"/>
  <c r="I7" i="15" s="1"/>
  <c r="Q3" i="15"/>
  <c r="Q4" i="15"/>
  <c r="Q72" i="15"/>
  <c r="Q65" i="15"/>
  <c r="Q58" i="15"/>
  <c r="Q43" i="15"/>
  <c r="Q38" i="15"/>
  <c r="Q34" i="15"/>
  <c r="Q11" i="15"/>
  <c r="G78" i="15"/>
  <c r="H78" i="15" s="1"/>
  <c r="I78" i="15" s="1"/>
  <c r="G58" i="15"/>
  <c r="H58" i="15" s="1"/>
  <c r="I58" i="15" s="1"/>
  <c r="G54" i="15"/>
  <c r="H54" i="15" s="1"/>
  <c r="I54" i="15" s="1"/>
  <c r="G50" i="15"/>
  <c r="H50" i="15" s="1"/>
  <c r="I50" i="15" s="1"/>
  <c r="G46" i="15"/>
  <c r="H46" i="15" s="1"/>
  <c r="I46" i="15" s="1"/>
  <c r="G38" i="15"/>
  <c r="H38" i="15" s="1"/>
  <c r="I38" i="15" s="1"/>
  <c r="G34" i="15"/>
  <c r="H34" i="15" s="1"/>
  <c r="I34" i="15" s="1"/>
  <c r="G30" i="15"/>
  <c r="H30" i="15" s="1"/>
  <c r="I30" i="15" s="1"/>
  <c r="G26" i="15"/>
  <c r="H26" i="15" s="1"/>
  <c r="I26" i="15" s="1"/>
  <c r="G22" i="15"/>
  <c r="H22" i="15" s="1"/>
  <c r="I22" i="15" s="1"/>
  <c r="G14" i="15"/>
  <c r="H14" i="15" s="1"/>
  <c r="I14" i="15" s="1"/>
  <c r="G10" i="15"/>
  <c r="H10" i="15" s="1"/>
  <c r="I10" i="15" s="1"/>
  <c r="G6" i="15"/>
  <c r="H6" i="15" s="1"/>
  <c r="I6" i="15" s="1"/>
  <c r="Q7" i="15"/>
  <c r="Q77" i="15"/>
  <c r="Q64" i="15"/>
  <c r="Q56" i="15"/>
  <c r="Q51" i="15"/>
  <c r="Q47" i="15"/>
  <c r="Q41" i="15"/>
  <c r="Q37" i="15"/>
  <c r="Q30" i="15"/>
  <c r="Q22" i="15"/>
  <c r="Q17" i="15"/>
  <c r="Q10" i="15"/>
  <c r="G77" i="15"/>
  <c r="H77" i="15" s="1"/>
  <c r="I77" i="15" s="1"/>
  <c r="G73" i="15"/>
  <c r="H73" i="15" s="1"/>
  <c r="I73" i="15" s="1"/>
  <c r="G69" i="15"/>
  <c r="H69" i="15" s="1"/>
  <c r="I69" i="15" s="1"/>
  <c r="G65" i="15"/>
  <c r="H65" i="15" s="1"/>
  <c r="I65" i="15" s="1"/>
  <c r="G61" i="15"/>
  <c r="H61" i="15" s="1"/>
  <c r="I61" i="15" s="1"/>
  <c r="I70" i="15" s="1"/>
  <c r="G53" i="15"/>
  <c r="H53" i="15" s="1"/>
  <c r="I53" i="15" s="1"/>
  <c r="G49" i="15"/>
  <c r="H49" i="15" s="1"/>
  <c r="I49" i="15" s="1"/>
  <c r="G45" i="15"/>
  <c r="H45" i="15" s="1"/>
  <c r="I45" i="15" s="1"/>
  <c r="G41" i="15"/>
  <c r="H41" i="15" s="1"/>
  <c r="I41" i="15" s="1"/>
  <c r="G37" i="15"/>
  <c r="H37" i="15" s="1"/>
  <c r="I37" i="15" s="1"/>
  <c r="G29" i="15"/>
  <c r="H29" i="15" s="1"/>
  <c r="I29" i="15" s="1"/>
  <c r="I33" i="15" s="1"/>
  <c r="G25" i="15"/>
  <c r="H25" i="15" s="1"/>
  <c r="I25" i="15" s="1"/>
  <c r="G17" i="15"/>
  <c r="H17" i="15" s="1"/>
  <c r="I17" i="15" s="1"/>
  <c r="I21" i="15" s="1"/>
  <c r="G5" i="15"/>
  <c r="H5" i="15" s="1"/>
  <c r="I5" i="15" s="1"/>
  <c r="Q75" i="15"/>
  <c r="Q69" i="15"/>
  <c r="Q54" i="15"/>
  <c r="Q50" i="15"/>
  <c r="Q46" i="15"/>
  <c r="Q29" i="15"/>
  <c r="Q20" i="15"/>
  <c r="Q14" i="15"/>
  <c r="D82" i="15"/>
  <c r="C82" i="15"/>
  <c r="T26" i="14"/>
  <c r="T31" i="14"/>
  <c r="T34" i="14"/>
  <c r="T29" i="14"/>
  <c r="T27" i="14"/>
  <c r="T7" i="14"/>
  <c r="T12" i="14"/>
  <c r="S5" i="14"/>
  <c r="I5" i="14"/>
  <c r="T5" i="14" s="1"/>
  <c r="U44" i="14"/>
  <c r="S30" i="14"/>
  <c r="T9" i="14"/>
  <c r="T28" i="14"/>
  <c r="T30" i="14"/>
  <c r="T33" i="14"/>
  <c r="T35" i="14"/>
  <c r="I3" i="14"/>
  <c r="T3" i="14" s="1"/>
  <c r="I11" i="14"/>
  <c r="T11" i="14" s="1"/>
  <c r="I25" i="14"/>
  <c r="T25" i="14" s="1"/>
  <c r="I8" i="15" l="1"/>
  <c r="I74" i="15"/>
  <c r="I55" i="15"/>
  <c r="I16" i="15"/>
  <c r="I82" i="15" s="1"/>
  <c r="I28" i="15"/>
  <c r="I60" i="15"/>
  <c r="I42" i="15"/>
  <c r="I81" i="15"/>
  <c r="F2" i="13" l="1"/>
  <c r="E2" i="13"/>
  <c r="D2" i="13"/>
  <c r="D15" i="13" l="1"/>
  <c r="E15" i="13" s="1"/>
  <c r="F15" i="13" s="1"/>
  <c r="C2" i="13" l="1"/>
  <c r="C10" i="13" l="1"/>
  <c r="D10" i="13" s="1"/>
  <c r="E10" i="13" s="1"/>
  <c r="F10" i="13" s="1"/>
  <c r="C9" i="13"/>
  <c r="D9" i="13" s="1"/>
  <c r="E9" i="13" s="1"/>
  <c r="F9" i="13" s="1"/>
  <c r="C8" i="13"/>
  <c r="D8" i="13" s="1"/>
  <c r="E8" i="13" s="1"/>
  <c r="F8" i="13" s="1"/>
  <c r="C7" i="13"/>
  <c r="D7" i="13" s="1"/>
  <c r="E7" i="13" s="1"/>
  <c r="F7" i="13" s="1"/>
  <c r="C6" i="13"/>
  <c r="D6" i="13" s="1"/>
  <c r="E6" i="13" s="1"/>
  <c r="F6" i="13" s="1"/>
  <c r="C12" i="13"/>
  <c r="D12" i="13" s="1"/>
  <c r="E12" i="13" s="1"/>
  <c r="F12" i="13" s="1"/>
  <c r="C13" i="13"/>
  <c r="D13" i="13" s="1"/>
  <c r="E13" i="13" s="1"/>
  <c r="F13" i="13" s="1"/>
  <c r="C14" i="13"/>
  <c r="D14" i="13" s="1"/>
  <c r="E14" i="13" s="1"/>
  <c r="F14" i="13" s="1"/>
  <c r="C17" i="13"/>
  <c r="D17" i="13" s="1"/>
  <c r="E17" i="13" s="1"/>
  <c r="F17" i="13" s="1"/>
  <c r="C16" i="13"/>
  <c r="D16" i="13" s="1"/>
  <c r="E16" i="13" s="1"/>
  <c r="F16" i="13" s="1"/>
  <c r="S4" i="7"/>
  <c r="R4" i="7"/>
  <c r="K4" i="7"/>
  <c r="C3" i="8"/>
  <c r="H4" i="7"/>
  <c r="F22" i="13" l="1"/>
  <c r="E44" i="7" l="1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I82" i="1" l="1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C26" i="7"/>
  <c r="AC27" i="7"/>
  <c r="AC28" i="7"/>
  <c r="AC29" i="7"/>
  <c r="AC30" i="7"/>
  <c r="AC31" i="7"/>
  <c r="AC32" i="7"/>
  <c r="AC33" i="7"/>
  <c r="AC34" i="7"/>
  <c r="AC35" i="7"/>
  <c r="AC36" i="7"/>
  <c r="AC37" i="7"/>
  <c r="AC38" i="7"/>
  <c r="AC39" i="7"/>
  <c r="AC40" i="7"/>
  <c r="AC41" i="7"/>
  <c r="AC42" i="7"/>
  <c r="AC43" i="7"/>
  <c r="AC44" i="7"/>
  <c r="AC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" i="7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W44" i="7"/>
  <c r="W4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G4" i="8"/>
  <c r="G5" i="8"/>
  <c r="G6" i="8"/>
  <c r="G7" i="8"/>
  <c r="G8" i="8"/>
  <c r="G9" i="8"/>
  <c r="G10" i="8"/>
  <c r="G11" i="8"/>
  <c r="G12" i="8"/>
  <c r="G13" i="8"/>
  <c r="G3" i="8"/>
  <c r="R82" i="1"/>
  <c r="D67" i="1"/>
  <c r="Q67" i="1" s="1"/>
  <c r="D80" i="1"/>
  <c r="Q80" i="1" s="1"/>
  <c r="D79" i="1"/>
  <c r="Q79" i="1" s="1"/>
  <c r="D78" i="1"/>
  <c r="Q78" i="1" s="1"/>
  <c r="D77" i="1"/>
  <c r="Q77" i="1" s="1"/>
  <c r="D76" i="1"/>
  <c r="Q76" i="1" s="1"/>
  <c r="D75" i="1"/>
  <c r="Q75" i="1" s="1"/>
  <c r="D20" i="1"/>
  <c r="Q20" i="1" s="1"/>
  <c r="D19" i="1"/>
  <c r="Q19" i="1" s="1"/>
  <c r="D18" i="1"/>
  <c r="Q18" i="1" s="1"/>
  <c r="D17" i="1"/>
  <c r="Q17" i="1" s="1"/>
  <c r="D15" i="1"/>
  <c r="Q15" i="1" s="1"/>
  <c r="D14" i="1"/>
  <c r="Q14" i="1" s="1"/>
  <c r="D13" i="1"/>
  <c r="Q13" i="1" s="1"/>
  <c r="D12" i="1"/>
  <c r="Q12" i="1" s="1"/>
  <c r="D11" i="1"/>
  <c r="Q11" i="1" s="1"/>
  <c r="D10" i="1"/>
  <c r="Q10" i="1" s="1"/>
  <c r="D9" i="1"/>
  <c r="D27" i="1"/>
  <c r="D26" i="1"/>
  <c r="Q26" i="1" s="1"/>
  <c r="D25" i="1"/>
  <c r="Q25" i="1" s="1"/>
  <c r="D24" i="1"/>
  <c r="Q24" i="1" s="1"/>
  <c r="D23" i="1"/>
  <c r="Q23" i="1" s="1"/>
  <c r="D22" i="1"/>
  <c r="Q22" i="1" s="1"/>
  <c r="D69" i="1"/>
  <c r="Q69" i="1" s="1"/>
  <c r="D68" i="1"/>
  <c r="Q68" i="1" s="1"/>
  <c r="D66" i="1"/>
  <c r="Q66" i="1" s="1"/>
  <c r="D65" i="1"/>
  <c r="Q65" i="1" s="1"/>
  <c r="D64" i="1"/>
  <c r="Q64" i="1" s="1"/>
  <c r="D63" i="1"/>
  <c r="Q63" i="1" s="1"/>
  <c r="D62" i="1"/>
  <c r="Q62" i="1" s="1"/>
  <c r="D61" i="1"/>
  <c r="Q61" i="1" s="1"/>
  <c r="D32" i="1"/>
  <c r="Q32" i="1" s="1"/>
  <c r="D31" i="1"/>
  <c r="Q31" i="1" s="1"/>
  <c r="D30" i="1"/>
  <c r="Q30" i="1" s="1"/>
  <c r="D29" i="1"/>
  <c r="Q29" i="1" s="1"/>
  <c r="D54" i="1"/>
  <c r="Q54" i="1" s="1"/>
  <c r="D53" i="1"/>
  <c r="Q53" i="1" s="1"/>
  <c r="D52" i="1"/>
  <c r="Q52" i="1" s="1"/>
  <c r="D51" i="1"/>
  <c r="Q51" i="1" s="1"/>
  <c r="D50" i="1"/>
  <c r="Q50" i="1" s="1"/>
  <c r="D49" i="1"/>
  <c r="Q49" i="1" s="1"/>
  <c r="D48" i="1"/>
  <c r="Q48" i="1" s="1"/>
  <c r="D47" i="1"/>
  <c r="Q47" i="1" s="1"/>
  <c r="D46" i="1"/>
  <c r="Q46" i="1" s="1"/>
  <c r="D45" i="1"/>
  <c r="Q45" i="1" s="1"/>
  <c r="D44" i="1"/>
  <c r="Q44" i="1" s="1"/>
  <c r="D43" i="1"/>
  <c r="Q43" i="1" s="1"/>
  <c r="D41" i="1"/>
  <c r="Q41" i="1" s="1"/>
  <c r="D40" i="1"/>
  <c r="Q40" i="1" s="1"/>
  <c r="D39" i="1"/>
  <c r="Q39" i="1" s="1"/>
  <c r="D38" i="1"/>
  <c r="Q38" i="1" s="1"/>
  <c r="D37" i="1"/>
  <c r="Q37" i="1" s="1"/>
  <c r="D36" i="1"/>
  <c r="Q36" i="1" s="1"/>
  <c r="D35" i="1"/>
  <c r="Q35" i="1" s="1"/>
  <c r="D34" i="1"/>
  <c r="Q34" i="1" s="1"/>
  <c r="D59" i="1"/>
  <c r="Q59" i="1" s="1"/>
  <c r="D58" i="1"/>
  <c r="Q58" i="1" s="1"/>
  <c r="D57" i="1"/>
  <c r="Q57" i="1" s="1"/>
  <c r="D56" i="1"/>
  <c r="D73" i="1"/>
  <c r="Q73" i="1" s="1"/>
  <c r="D72" i="1"/>
  <c r="Q72" i="1" s="1"/>
  <c r="D71" i="1"/>
  <c r="Q71" i="1" s="1"/>
  <c r="I5" i="9"/>
  <c r="I10" i="9"/>
  <c r="I14" i="9"/>
  <c r="I19" i="9"/>
  <c r="I28" i="9"/>
  <c r="I40" i="9"/>
  <c r="I46" i="9"/>
  <c r="I55" i="9"/>
  <c r="I62" i="9"/>
  <c r="I69" i="9"/>
  <c r="J69" i="9"/>
  <c r="I74" i="9"/>
  <c r="I81" i="9" s="1"/>
  <c r="G74" i="9"/>
  <c r="E74" i="9"/>
  <c r="G69" i="9"/>
  <c r="E69" i="9"/>
  <c r="G62" i="9"/>
  <c r="E62" i="9"/>
  <c r="G55" i="9"/>
  <c r="E55" i="9"/>
  <c r="H47" i="9"/>
  <c r="G46" i="9"/>
  <c r="E46" i="9"/>
  <c r="G40" i="9"/>
  <c r="E40" i="9"/>
  <c r="G28" i="9"/>
  <c r="E28" i="9"/>
  <c r="G19" i="9"/>
  <c r="E19" i="9"/>
  <c r="G14" i="9"/>
  <c r="E14" i="9"/>
  <c r="G10" i="9"/>
  <c r="E10" i="9"/>
  <c r="G5" i="9"/>
  <c r="E5" i="9"/>
  <c r="AD41" i="7" l="1"/>
  <c r="AD37" i="7"/>
  <c r="AD33" i="7"/>
  <c r="AD29" i="7"/>
  <c r="AD25" i="7"/>
  <c r="AD21" i="7"/>
  <c r="AD17" i="7"/>
  <c r="AD13" i="7"/>
  <c r="AD9" i="7"/>
  <c r="AD5" i="7"/>
  <c r="AD43" i="7"/>
  <c r="AD39" i="7"/>
  <c r="AD35" i="7"/>
  <c r="AD31" i="7"/>
  <c r="AD27" i="7"/>
  <c r="AD23" i="7"/>
  <c r="AD19" i="7"/>
  <c r="AD15" i="7"/>
  <c r="AD11" i="7"/>
  <c r="AD7" i="7"/>
  <c r="AD42" i="7"/>
  <c r="AD38" i="7"/>
  <c r="AD34" i="7"/>
  <c r="AD26" i="7"/>
  <c r="AD22" i="7"/>
  <c r="AD18" i="7"/>
  <c r="AD14" i="7"/>
  <c r="AD10" i="7"/>
  <c r="AD6" i="7"/>
  <c r="AD30" i="7"/>
  <c r="AD44" i="7"/>
  <c r="AD40" i="7"/>
  <c r="AD36" i="7"/>
  <c r="AD32" i="7"/>
  <c r="AD28" i="7"/>
  <c r="AD24" i="7"/>
  <c r="AD20" i="7"/>
  <c r="AD16" i="7"/>
  <c r="AD12" i="7"/>
  <c r="AD8" i="7"/>
  <c r="Q56" i="1"/>
  <c r="Q9" i="1"/>
  <c r="G81" i="9"/>
  <c r="E81" i="9"/>
  <c r="D7" i="1" l="1"/>
  <c r="Q7" i="1" s="1"/>
  <c r="D6" i="1"/>
  <c r="Q6" i="1" s="1"/>
  <c r="D5" i="1"/>
  <c r="Q5" i="1" s="1"/>
  <c r="D4" i="1"/>
  <c r="Q4" i="1" s="1"/>
  <c r="D3" i="1"/>
  <c r="Q3" i="1" s="1"/>
  <c r="D82" i="1" l="1"/>
  <c r="O9" i="1"/>
  <c r="O10" i="1"/>
  <c r="O11" i="1"/>
  <c r="O12" i="1"/>
  <c r="O13" i="1"/>
  <c r="O14" i="1"/>
  <c r="O15" i="1"/>
  <c r="O17" i="1"/>
  <c r="O18" i="1"/>
  <c r="O19" i="1"/>
  <c r="O20" i="1"/>
  <c r="O22" i="1"/>
  <c r="O23" i="1"/>
  <c r="O24" i="1"/>
  <c r="O25" i="1"/>
  <c r="O26" i="1"/>
  <c r="O30" i="1"/>
  <c r="O31" i="1"/>
  <c r="O32" i="1"/>
  <c r="O34" i="1"/>
  <c r="O35" i="1"/>
  <c r="O36" i="1"/>
  <c r="O37" i="1"/>
  <c r="O38" i="1"/>
  <c r="O39" i="1"/>
  <c r="O40" i="1"/>
  <c r="O41" i="1"/>
  <c r="O43" i="1"/>
  <c r="O45" i="1"/>
  <c r="O46" i="1"/>
  <c r="O47" i="1"/>
  <c r="O48" i="1"/>
  <c r="O49" i="1"/>
  <c r="O50" i="1"/>
  <c r="O51" i="1"/>
  <c r="O52" i="1"/>
  <c r="O53" i="1"/>
  <c r="O54" i="1"/>
  <c r="O56" i="1"/>
  <c r="O57" i="1"/>
  <c r="O58" i="1"/>
  <c r="O59" i="1"/>
  <c r="O61" i="1"/>
  <c r="O62" i="1"/>
  <c r="O63" i="1"/>
  <c r="O64" i="1"/>
  <c r="O65" i="1"/>
  <c r="O66" i="1"/>
  <c r="O67" i="1"/>
  <c r="O69" i="1"/>
  <c r="O71" i="1"/>
  <c r="O72" i="1"/>
  <c r="O73" i="1"/>
  <c r="O75" i="1"/>
  <c r="O76" i="1"/>
  <c r="O77" i="1"/>
  <c r="O78" i="1"/>
  <c r="O79" i="1"/>
  <c r="O80" i="1"/>
  <c r="M10" i="1"/>
  <c r="M11" i="1"/>
  <c r="M12" i="1"/>
  <c r="M14" i="1"/>
  <c r="M17" i="1"/>
  <c r="M18" i="1"/>
  <c r="M19" i="1"/>
  <c r="M20" i="1"/>
  <c r="M22" i="1"/>
  <c r="M23" i="1"/>
  <c r="M26" i="1"/>
  <c r="M30" i="1"/>
  <c r="M34" i="1"/>
  <c r="M35" i="1"/>
  <c r="M36" i="1"/>
  <c r="M37" i="1"/>
  <c r="M38" i="1"/>
  <c r="M39" i="1"/>
  <c r="M40" i="1"/>
  <c r="M41" i="1"/>
  <c r="M43" i="1"/>
  <c r="M45" i="1"/>
  <c r="M46" i="1"/>
  <c r="M47" i="1"/>
  <c r="M48" i="1"/>
  <c r="M49" i="1"/>
  <c r="M50" i="1"/>
  <c r="M51" i="1"/>
  <c r="M52" i="1"/>
  <c r="M53" i="1"/>
  <c r="M54" i="1"/>
  <c r="M56" i="1"/>
  <c r="M58" i="1"/>
  <c r="M61" i="1"/>
  <c r="M62" i="1"/>
  <c r="M64" i="1"/>
  <c r="M65" i="1"/>
  <c r="M67" i="1"/>
  <c r="M69" i="1"/>
  <c r="M71" i="1"/>
  <c r="M72" i="1"/>
  <c r="M73" i="1"/>
  <c r="M75" i="1"/>
  <c r="M77" i="1"/>
  <c r="M9" i="1"/>
  <c r="C6" i="8"/>
  <c r="C7" i="8"/>
  <c r="C8" i="8"/>
  <c r="C9" i="8"/>
  <c r="C10" i="8"/>
  <c r="C11" i="8"/>
  <c r="C12" i="8"/>
  <c r="C13" i="8"/>
  <c r="C5" i="8"/>
  <c r="C4" i="8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L44" i="7"/>
  <c r="K44" i="7"/>
  <c r="AF44" i="7" s="1"/>
  <c r="H44" i="7"/>
  <c r="M43" i="7"/>
  <c r="L43" i="7"/>
  <c r="K43" i="7"/>
  <c r="AF43" i="7" s="1"/>
  <c r="H43" i="7"/>
  <c r="AF42" i="7"/>
  <c r="L42" i="7"/>
  <c r="K42" i="7"/>
  <c r="M42" i="7" s="1"/>
  <c r="H42" i="7"/>
  <c r="L41" i="7"/>
  <c r="K41" i="7"/>
  <c r="AF41" i="7" s="1"/>
  <c r="H41" i="7"/>
  <c r="AF40" i="7"/>
  <c r="M40" i="7"/>
  <c r="L40" i="7"/>
  <c r="H40" i="7"/>
  <c r="AF39" i="7"/>
  <c r="M39" i="7"/>
  <c r="L39" i="7"/>
  <c r="H39" i="7"/>
  <c r="M38" i="7"/>
  <c r="L38" i="7"/>
  <c r="K38" i="7"/>
  <c r="AF38" i="7" s="1"/>
  <c r="H38" i="7"/>
  <c r="M37" i="7"/>
  <c r="L37" i="7"/>
  <c r="K37" i="7"/>
  <c r="AF37" i="7" s="1"/>
  <c r="H37" i="7"/>
  <c r="L36" i="7"/>
  <c r="K36" i="7"/>
  <c r="M36" i="7" s="1"/>
  <c r="H36" i="7"/>
  <c r="L35" i="7"/>
  <c r="K35" i="7"/>
  <c r="AF35" i="7" s="1"/>
  <c r="H35" i="7"/>
  <c r="K34" i="7"/>
  <c r="M34" i="7" s="1"/>
  <c r="H34" i="7"/>
  <c r="D34" i="7"/>
  <c r="L34" i="7" s="1"/>
  <c r="AF33" i="7"/>
  <c r="M33" i="7"/>
  <c r="L33" i="7"/>
  <c r="H33" i="7"/>
  <c r="L32" i="7"/>
  <c r="K32" i="7"/>
  <c r="M32" i="7" s="1"/>
  <c r="H32" i="7"/>
  <c r="P31" i="7"/>
  <c r="K31" i="7" s="1"/>
  <c r="L31" i="7"/>
  <c r="H31" i="7"/>
  <c r="L30" i="7"/>
  <c r="K30" i="7"/>
  <c r="AF30" i="7" s="1"/>
  <c r="H30" i="7"/>
  <c r="G30" i="7"/>
  <c r="L29" i="7"/>
  <c r="K29" i="7"/>
  <c r="AF29" i="7" s="1"/>
  <c r="H29" i="7"/>
  <c r="L28" i="7"/>
  <c r="K28" i="7"/>
  <c r="AF28" i="7" s="1"/>
  <c r="H28" i="7"/>
  <c r="L27" i="7"/>
  <c r="K27" i="7"/>
  <c r="AF27" i="7" s="1"/>
  <c r="H27" i="7"/>
  <c r="L26" i="7"/>
  <c r="K26" i="7"/>
  <c r="AF26" i="7" s="1"/>
  <c r="H26" i="7"/>
  <c r="AF25" i="7"/>
  <c r="M25" i="7"/>
  <c r="L25" i="7"/>
  <c r="H25" i="7"/>
  <c r="AF24" i="7"/>
  <c r="M24" i="7"/>
  <c r="L24" i="7"/>
  <c r="H24" i="7"/>
  <c r="AF23" i="7"/>
  <c r="M23" i="7"/>
  <c r="L23" i="7"/>
  <c r="H23" i="7"/>
  <c r="D23" i="7"/>
  <c r="AF22" i="7"/>
  <c r="M22" i="7"/>
  <c r="L22" i="7"/>
  <c r="H22" i="7"/>
  <c r="AF21" i="7"/>
  <c r="M21" i="7"/>
  <c r="L21" i="7"/>
  <c r="H21" i="7"/>
  <c r="AF20" i="7"/>
  <c r="M20" i="7"/>
  <c r="L20" i="7"/>
  <c r="H20" i="7"/>
  <c r="AF19" i="7"/>
  <c r="M19" i="7"/>
  <c r="L19" i="7"/>
  <c r="H19" i="7"/>
  <c r="L18" i="7"/>
  <c r="K18" i="7"/>
  <c r="AF18" i="7" s="1"/>
  <c r="H18" i="7"/>
  <c r="L17" i="7"/>
  <c r="K17" i="7"/>
  <c r="M17" i="7" s="1"/>
  <c r="H17" i="7"/>
  <c r="L16" i="7"/>
  <c r="K16" i="7"/>
  <c r="AF16" i="7" s="1"/>
  <c r="H16" i="7"/>
  <c r="L15" i="7"/>
  <c r="K15" i="7"/>
  <c r="M15" i="7" s="1"/>
  <c r="H15" i="7"/>
  <c r="L14" i="7"/>
  <c r="K14" i="7"/>
  <c r="AF14" i="7" s="1"/>
  <c r="H14" i="7"/>
  <c r="L13" i="7"/>
  <c r="K13" i="7"/>
  <c r="M13" i="7" s="1"/>
  <c r="H13" i="7"/>
  <c r="K12" i="7"/>
  <c r="M12" i="7" s="1"/>
  <c r="H12" i="7"/>
  <c r="D12" i="7"/>
  <c r="L12" i="7" s="1"/>
  <c r="L11" i="7"/>
  <c r="K11" i="7"/>
  <c r="AF11" i="7" s="1"/>
  <c r="H11" i="7"/>
  <c r="L10" i="7"/>
  <c r="K10" i="7"/>
  <c r="M10" i="7" s="1"/>
  <c r="H10" i="7"/>
  <c r="L9" i="7"/>
  <c r="K9" i="7"/>
  <c r="AF9" i="7" s="1"/>
  <c r="H9" i="7"/>
  <c r="L8" i="7"/>
  <c r="K8" i="7"/>
  <c r="M8" i="7" s="1"/>
  <c r="H8" i="7"/>
  <c r="L7" i="7"/>
  <c r="K7" i="7"/>
  <c r="AF7" i="7" s="1"/>
  <c r="H7" i="7"/>
  <c r="Q6" i="7"/>
  <c r="K6" i="7" s="1"/>
  <c r="H6" i="7"/>
  <c r="D6" i="7"/>
  <c r="L6" i="7" s="1"/>
  <c r="L5" i="7"/>
  <c r="K5" i="7"/>
  <c r="M5" i="7" s="1"/>
  <c r="H5" i="7"/>
  <c r="L4" i="7"/>
  <c r="M4" i="7"/>
  <c r="AF32" i="7" l="1"/>
  <c r="AF36" i="7"/>
  <c r="AF8" i="7"/>
  <c r="AF10" i="7"/>
  <c r="M14" i="7"/>
  <c r="AF15" i="7"/>
  <c r="AF34" i="7"/>
  <c r="M30" i="7"/>
  <c r="AF5" i="7"/>
  <c r="AF17" i="7"/>
  <c r="M18" i="7"/>
  <c r="M31" i="7"/>
  <c r="AF31" i="7"/>
  <c r="AF6" i="7"/>
  <c r="M6" i="7"/>
  <c r="AF4" i="7"/>
  <c r="AF12" i="7"/>
  <c r="AF13" i="7"/>
  <c r="M44" i="7"/>
  <c r="M11" i="7"/>
  <c r="M16" i="7"/>
  <c r="M26" i="7"/>
  <c r="M27" i="7"/>
  <c r="M28" i="7"/>
  <c r="M29" i="7"/>
  <c r="M35" i="7"/>
  <c r="M41" i="7"/>
  <c r="M7" i="7"/>
  <c r="M9" i="7"/>
  <c r="F82" i="1" l="1"/>
  <c r="G82" i="1"/>
  <c r="J82" i="1"/>
  <c r="E82" i="1"/>
  <c r="H4" i="1"/>
  <c r="H5" i="1"/>
  <c r="H6" i="1"/>
  <c r="H7" i="1"/>
  <c r="H9" i="1"/>
  <c r="N9" i="1" s="1"/>
  <c r="H10" i="1"/>
  <c r="N10" i="1" s="1"/>
  <c r="H11" i="1"/>
  <c r="N11" i="1" s="1"/>
  <c r="H12" i="1"/>
  <c r="N12" i="1" s="1"/>
  <c r="H14" i="1"/>
  <c r="N14" i="1" s="1"/>
  <c r="H17" i="1"/>
  <c r="N17" i="1" s="1"/>
  <c r="H18" i="1"/>
  <c r="N18" i="1" s="1"/>
  <c r="H20" i="1"/>
  <c r="N20" i="1" s="1"/>
  <c r="H22" i="1"/>
  <c r="N22" i="1" s="1"/>
  <c r="H23" i="1"/>
  <c r="N23" i="1" s="1"/>
  <c r="H34" i="1"/>
  <c r="H36" i="1"/>
  <c r="N36" i="1" s="1"/>
  <c r="H37" i="1"/>
  <c r="N37" i="1" s="1"/>
  <c r="H38" i="1"/>
  <c r="N38" i="1" s="1"/>
  <c r="H39" i="1"/>
  <c r="N39" i="1" s="1"/>
  <c r="H40" i="1"/>
  <c r="N40" i="1" s="1"/>
  <c r="H43" i="1"/>
  <c r="H45" i="1"/>
  <c r="N45" i="1" s="1"/>
  <c r="H46" i="1"/>
  <c r="N46" i="1" s="1"/>
  <c r="H48" i="1"/>
  <c r="N48" i="1" s="1"/>
  <c r="H51" i="1"/>
  <c r="N51" i="1" s="1"/>
  <c r="H53" i="1"/>
  <c r="N53" i="1" s="1"/>
  <c r="H54" i="1"/>
  <c r="N54" i="1" s="1"/>
  <c r="H61" i="1"/>
  <c r="H62" i="1"/>
  <c r="N62" i="1" s="1"/>
  <c r="H64" i="1"/>
  <c r="N64" i="1" s="1"/>
  <c r="H66" i="1"/>
  <c r="N66" i="1" s="1"/>
  <c r="H67" i="1"/>
  <c r="N67" i="1" s="1"/>
  <c r="H68" i="1"/>
  <c r="N68" i="1" s="1"/>
  <c r="H69" i="1"/>
  <c r="N69" i="1" s="1"/>
  <c r="H71" i="1"/>
  <c r="H73" i="1"/>
  <c r="N73" i="1" s="1"/>
  <c r="H75" i="1"/>
  <c r="N75" i="1" s="1"/>
  <c r="H76" i="1"/>
  <c r="N76" i="1" s="1"/>
  <c r="H77" i="1"/>
  <c r="N77" i="1" s="1"/>
  <c r="H80" i="1"/>
  <c r="N80" i="1" s="1"/>
  <c r="H3" i="1"/>
  <c r="C7" i="1"/>
  <c r="C6" i="1"/>
  <c r="C4" i="1"/>
  <c r="C3" i="1"/>
  <c r="C5" i="1"/>
  <c r="N71" i="1" l="1"/>
  <c r="N34" i="1"/>
  <c r="H82" i="1"/>
  <c r="N61" i="1"/>
  <c r="M3" i="1"/>
  <c r="N43" i="1"/>
  <c r="O6" i="1"/>
  <c r="N6" i="1"/>
  <c r="M6" i="1"/>
  <c r="M5" i="1"/>
  <c r="N5" i="1"/>
  <c r="O5" i="1"/>
  <c r="O7" i="1"/>
  <c r="M7" i="1"/>
  <c r="N7" i="1"/>
  <c r="N4" i="1"/>
  <c r="O4" i="1"/>
  <c r="M4" i="1"/>
  <c r="N3" i="1"/>
  <c r="C44" i="1"/>
  <c r="C29" i="1"/>
  <c r="O44" i="1" l="1"/>
  <c r="C82" i="1"/>
  <c r="M29" i="1"/>
  <c r="O29" i="1"/>
</calcChain>
</file>

<file path=xl/comments1.xml><?xml version="1.0" encoding="utf-8"?>
<comments xmlns="http://schemas.openxmlformats.org/spreadsheetml/2006/main">
  <authors>
    <author>Author</author>
  </authors>
  <commentList>
    <comment ref="K19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K21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თვის ხარჯვა</t>
        </r>
      </text>
    </comment>
    <comment ref="K37" authorId="0" shape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საშ.ხარჯვა გათვლილია ბოლო ორი თვის ხარჯვაზე დაყრდნობით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8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G20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ხარჯვის მაჩვენებელი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დავაკელი ვადაგასული</t>
        </r>
      </text>
    </comment>
    <comment ref="G32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აღებულია თებერვლის თვის ხარჯვა</t>
        </r>
      </text>
    </comment>
    <comment ref="G36" authorId="0" shapeId="0">
      <text>
        <r>
          <rPr>
            <b/>
            <sz val="8"/>
            <color indexed="81"/>
            <rFont val="Tahoma"/>
            <charset val="1"/>
          </rPr>
          <t>Author:</t>
        </r>
        <r>
          <rPr>
            <sz val="8"/>
            <color indexed="81"/>
            <rFont val="Tahoma"/>
            <charset val="1"/>
          </rPr>
          <t xml:space="preserve">
საშ.ხარჯვა გათვლილია ბოლო ორი თვის ხარჯვაზე დაყრდნობით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0.0653 ევრო (გათვლა 5.05.19 1ევრო=3.0274)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0.0911 ევრო (გათვლა 5.05.19 1ევრო=3.0274)</t>
        </r>
      </text>
    </comment>
  </commentList>
</comments>
</file>

<file path=xl/sharedStrings.xml><?xml version="1.0" encoding="utf-8"?>
<sst xmlns="http://schemas.openxmlformats.org/spreadsheetml/2006/main" count="725" uniqueCount="349">
  <si>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</si>
  <si>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</si>
  <si>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</si>
  <si>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 xml:space="preserve"> თბილისი</t>
  </si>
  <si>
    <t>ქვემო ქართლის რეგიონი</t>
  </si>
  <si>
    <t>ქ. რუსთავი და რუსთავის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</si>
  <si>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</si>
  <si>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</si>
  <si>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</si>
  <si>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</si>
  <si>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</si>
  <si>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</si>
  <si>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ქართლის რეგიონი</t>
  </si>
  <si>
    <t>ქ. გორი და 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</si>
  <si>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</si>
  <si>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</si>
  <si>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</si>
  <si>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</si>
  <si>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</si>
  <si>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</si>
  <si>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</si>
  <si>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</si>
  <si>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</si>
  <si>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</si>
  <si>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</si>
  <si>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</si>
  <si>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</si>
  <si>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</si>
  <si>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</si>
  <si>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 xml:space="preserve">კახეთის რეგიონი 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</si>
  <si>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</si>
  <si>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</si>
  <si>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</si>
  <si>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</si>
  <si>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</si>
  <si>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 xml:space="preserve">საგარეჯოს მუნიციპალიტეტი </t>
  </si>
  <si>
    <t>ლაგოდეხის მუნიციპალიტეტი</t>
  </si>
  <si>
    <t>დედოფლისწყაროს მუნიციპალიტეტი</t>
  </si>
  <si>
    <t>იმერეთის რეგიონი</t>
  </si>
  <si>
    <t>ზესტაფონის მუნიციპალიტეტი</t>
  </si>
  <si>
    <t xml:space="preserve">ხარაგაულის მუნიციპალიტეტი </t>
  </si>
  <si>
    <t>საჩხერის მუნიციპალიტეტი</t>
  </si>
  <si>
    <t>ჭიათურის მუნიციპალიტეტი</t>
  </si>
  <si>
    <t>ვანის მუნიციპალიტეტი</t>
  </si>
  <si>
    <t>სამტრედიის მუნიციპალიტეტი</t>
  </si>
  <si>
    <t>ხონის მუნიციპალიტეტი</t>
  </si>
  <si>
    <t>წყალტუბოს მუნიციპალიტეტი</t>
  </si>
  <si>
    <t>ქ. ქუთაისი და ქუთაისის მუნიციპალიტეტი</t>
  </si>
  <si>
    <t>ბაღდათის მუნიციპალიტეტი</t>
  </si>
  <si>
    <t>თერჯოლის მუნიციპალიტეტი</t>
  </si>
  <si>
    <t>ტყიბულის მუნიციპალიტეტი</t>
  </si>
  <si>
    <t>რაჭა-ლეჩხუმი და ქვემო სვანეთის რეგიონი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</si>
  <si>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</si>
  <si>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</si>
  <si>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</si>
  <si>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</si>
  <si>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</si>
  <si>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</si>
  <si>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ქ. ფოთი</t>
  </si>
  <si>
    <t>აბაშის მუნიციპალიტეტი</t>
  </si>
  <si>
    <t>სენაკის მუნიციპალიტეტი</t>
  </si>
  <si>
    <t>ჩხოროწყუს მუნიციპალიტეტი</t>
  </si>
  <si>
    <t>ხობის მუნიციპალიტეტი</t>
  </si>
  <si>
    <t>ზუგდიდის მუნიციპალიტეტი</t>
  </si>
  <si>
    <t>მესტიის მუნიციპალიტეტი</t>
  </si>
  <si>
    <t>წალენჯიხის მუნიციპალიტეტი</t>
  </si>
  <si>
    <t>გურიის    რეგიონი</t>
  </si>
  <si>
    <t>ოზურგეთის მუნიციპალიტეტი</t>
  </si>
  <si>
    <t>ჩოხატაურის მუნიციპალიტეტი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</si>
  <si>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</si>
  <si>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</si>
  <si>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</si>
  <si>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</si>
  <si>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</si>
  <si>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</si>
  <si>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</si>
  <si>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</si>
  <si>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ქვემო ქართლი</t>
  </si>
  <si>
    <t>შიდა ქართლი</t>
  </si>
  <si>
    <t>მცხეთა-მთიანეთი</t>
  </si>
  <si>
    <t>კახეთი</t>
  </si>
  <si>
    <t>იმერეთი</t>
  </si>
  <si>
    <t>გურია</t>
  </si>
  <si>
    <t>აჭარა</t>
  </si>
  <si>
    <t>ვაკე-საბურთალოს რაიონი</t>
  </si>
  <si>
    <t>გლდანი-ნაძალადევის რაიონი</t>
  </si>
  <si>
    <t>დიდუბე-ჩუღურეთის რაიონი</t>
  </si>
  <si>
    <t>მთაწმინდა-კრწანისის რაიონი</t>
  </si>
  <si>
    <t>ისანი-სამგორის რაიონი</t>
  </si>
  <si>
    <t>ჯპს</t>
  </si>
  <si>
    <t>ფარმადეპო</t>
  </si>
  <si>
    <t>saxalxo</t>
  </si>
  <si>
    <t>ind.m</t>
  </si>
  <si>
    <t>შპს დაისი</t>
  </si>
  <si>
    <t>შპს ფარმაცია</t>
  </si>
  <si>
    <t>შპს გუდფილი</t>
  </si>
  <si>
    <t>შპს წალენჯიხა</t>
  </si>
  <si>
    <t>შპს მკურნალი</t>
  </si>
  <si>
    <t>გეფა</t>
  </si>
  <si>
    <t>პსპ</t>
  </si>
  <si>
    <t>პროგრამა</t>
  </si>
  <si>
    <t>N</t>
  </si>
  <si>
    <t>მედიკამენტის საერთაშორისო არაპატენტური დასახელება</t>
  </si>
  <si>
    <t>სავაჭრო დასახელება</t>
  </si>
  <si>
    <t>ნაშთი პსპ ბაზა 01.03.2019</t>
  </si>
  <si>
    <t>ნაშთი  საქართველო სრულად 01.03.2019მდგომარეობით</t>
  </si>
  <si>
    <t>საშუალო ხარჯვა ცენტრალური საწყობიდან (ბოლო 2 თვის განაწილების მაგალითზე)</t>
  </si>
  <si>
    <t xml:space="preserve"> საშუალო ხარჯვა ბენეფიციარზე  ბოლო 3 თვის ( იანვარი–თებერვალი) მაგალითზე</t>
  </si>
  <si>
    <t>მარაგი (თვე) ცენტრალური საწყობი</t>
  </si>
  <si>
    <t>მარაგი (თვე) საქაღთველო სრულად</t>
  </si>
  <si>
    <t>ხარჯვა ბენეფიციარი – ნოემბერი 2018</t>
  </si>
  <si>
    <t>ხარჯვა ბენეფიციარი – დეკემბერი  2018</t>
  </si>
  <si>
    <t>ხარჯვა ბებეფიციარი – იანვარი 2019</t>
  </si>
  <si>
    <t>ხარჯვა ბებეფიციარი – თებერვალი 2019</t>
  </si>
  <si>
    <t>საჭიროება 12 თვე (ბენეფიციარებზე ხარჯვის მიხედვით)</t>
  </si>
  <si>
    <t>ერთეულის სავარაუდო ღირებულება (2017 -2018 წლის ერთეულის ფასის მიხედვით (ბოლო სატენდერო ღირებულება)) – ლარი</t>
  </si>
  <si>
    <t>ენალაპრილი 10მგ</t>
  </si>
  <si>
    <t>ენალაპრილი 20მგ</t>
  </si>
  <si>
    <t>ენაპი 20მგ</t>
  </si>
  <si>
    <t>ლოსარტანი 100მგ</t>
  </si>
  <si>
    <t>ლოზაპი/ლორისტა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</si>
  <si>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</si>
  <si>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</si>
  <si>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</si>
  <si>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</si>
  <si>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</si>
  <si>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</si>
  <si>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</si>
  <si>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</si>
  <si>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</si>
  <si>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</si>
  <si>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ზილტი 75მგ/პეგორელი 75მგ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</si>
  <si>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</si>
  <si>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</si>
  <si>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</si>
  <si>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</si>
  <si>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</si>
  <si>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</si>
  <si>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ტორვიტინი 20მგ N30</t>
  </si>
  <si>
    <t>ატორვასტატინი 10მგ</t>
  </si>
  <si>
    <t>ატორვასტატინი 40მგ</t>
  </si>
  <si>
    <t>ატორისი 40მგ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</si>
  <si>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</si>
  <si>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</si>
  <si>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</si>
  <si>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</si>
  <si>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ლოსარტან/ჰიდროქლორთიაზიდი 50მგ/12.5მგ</t>
  </si>
  <si>
    <t>ლორისტა H 50მგ/12.5მგ</t>
  </si>
  <si>
    <t>ბისოპროლოლი 5მგ</t>
  </si>
  <si>
    <t>ემკორი 5მგ</t>
  </si>
  <si>
    <t>ნებივოლოლი 5მგ</t>
  </si>
  <si>
    <t>ნებივოლოლი შტადა 5მგ/დანები 5მგ</t>
  </si>
  <si>
    <t>აცეტილსალიცილის მჟავა+მაგნიუმის ჰიდროქსიდი 75მგ</t>
  </si>
  <si>
    <t>კარდიომაგნილი 75მგ</t>
  </si>
  <si>
    <t>აცეტილსალიცილის მჟავა+მაგნიუმის ჰიდროქსიდი 150მგ</t>
  </si>
  <si>
    <t>კარდიომაგნილი 150მგ</t>
  </si>
  <si>
    <t>მეტფორმინი 1000მგ</t>
  </si>
  <si>
    <t>სიოფორი 1000მგ</t>
  </si>
  <si>
    <t>გლიკლაზიდი 60მგ</t>
  </si>
  <si>
    <t>დიაბეტონი MR 60მგ/ აპო გლიკლაზიდი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</si>
  <si>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</si>
  <si>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</si>
  <si>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</si>
  <si>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</si>
  <si>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</si>
  <si>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ლ–თიროქსინი/ეუთიროქსი 50მკგ</t>
  </si>
  <si>
    <t>ბუდესონიდი 0.5მგ/2მლ</t>
  </si>
  <si>
    <t>პულმიკორტი 0.5მგ/მლ 2მლ</t>
  </si>
  <si>
    <t xml:space="preserve">სალმეტეროლი/ფლუტიკაზონი   50მკგ/250 მკგ საინჰალაციო ფხვნილი                   </t>
  </si>
  <si>
    <t>სერეტიდი დისკუსი 50/250მკგ ინჰ 60 დოზა/ ეარფლუსალი</t>
  </si>
  <si>
    <t xml:space="preserve">სალმეტეროლი/ფლუტიკაზონი   50მკგ/500მკგ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</si>
  <si>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</si>
  <si>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</si>
  <si>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</si>
  <si>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</si>
  <si>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</si>
  <si>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</si>
  <si>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</si>
  <si>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</si>
  <si>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</si>
  <si>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</si>
  <si>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</si>
  <si>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</si>
  <si>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</si>
  <si>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კარბამაზეპინი 200მგ</t>
  </si>
  <si>
    <t>ნეიროლეფსინი 200მგ</t>
  </si>
  <si>
    <t>ნატრიუმის ვალპროატი 300მგ</t>
  </si>
  <si>
    <t>დეპაკინი ქრონო 300მგ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</si>
  <si>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</si>
  <si>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</si>
  <si>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</si>
  <si>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</si>
  <si>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ლემოტრიჯინი 25მგ</t>
  </si>
  <si>
    <t>ლამიქტალი 25მგ</t>
  </si>
  <si>
    <t>დანართი 1</t>
  </si>
  <si>
    <t>თებერვალი 2019</t>
  </si>
  <si>
    <t>რაიონი</t>
  </si>
  <si>
    <t>სოციალურად დაუცველი ოჯახების მონაცემთა ერთიან ბაზაში რეგისტრირებული პირი, რომლის ოჯახზე მინიჭებული სარეიტინგო ქულა არ აღემატება 100 000 ერთეულს.</t>
  </si>
  <si>
    <t>შეზღუდული შესაძლებლობის სტატუსის მქონე ბავშვი, აგრეთვე მკვეთრად ან მნიშვნელოვნად გამოხატული შეზღუდული შესაძლებლობის სტატუსის მქონე პირი</t>
  </si>
  <si>
    <t>საპენსიო ასაკის მოსახლეობა (ქალი –60 წლიდან, მამაკაცი – 65 წლიდან)</t>
  </si>
  <si>
    <t>თებერვლის თვეში რეგისტრირებული პირები რეგიონების მიხედვით</t>
  </si>
  <si>
    <t>თებერვლის თვეში მედიკამენტებით მოსარგებლე პირების ჯამური ოდენობა (აფთიაქში მიმართვის დონეზე)</t>
  </si>
  <si>
    <t>თბილისი</t>
  </si>
  <si>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</si>
  <si>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</si>
  <si>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</si>
  <si>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</si>
  <si>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ძველი თბილისის რაიონი </t>
  </si>
  <si>
    <t xml:space="preserve"> ლანჩხუთის რაიონი </t>
  </si>
  <si>
    <t xml:space="preserve"> ოზურგეთი</t>
  </si>
  <si>
    <t xml:space="preserve"> ოზურგეთის რაიონი </t>
  </si>
  <si>
    <t xml:space="preserve"> ჩოხატაურის რაიონი </t>
  </si>
  <si>
    <t>რაჭა–ლეჩხუმი და ქვემო სვანეთი</t>
  </si>
  <si>
    <t xml:space="preserve"> ამბროლაური</t>
  </si>
  <si>
    <t xml:space="preserve"> ამბროლაურის რაიონი </t>
  </si>
  <si>
    <t xml:space="preserve"> ლენტეხის რაიონი </t>
  </si>
  <si>
    <t xml:space="preserve"> ონის რაიონი </t>
  </si>
  <si>
    <t xml:space="preserve"> ცაგერის რაიონი 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</si>
  <si>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</si>
  <si>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</si>
  <si>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</si>
  <si>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</si>
  <si>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</si>
  <si>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</si>
  <si>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</si>
  <si>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</si>
  <si>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ყვარელის რაიონი </t>
  </si>
  <si>
    <t xml:space="preserve"> ბაღდათის რაიონი </t>
  </si>
  <si>
    <t xml:space="preserve"> ვანის რაიონი </t>
  </si>
  <si>
    <t xml:space="preserve"> ზესტაფონის რაიონი </t>
  </si>
  <si>
    <t xml:space="preserve"> თერჯოლის რაიონი </t>
  </si>
  <si>
    <t xml:space="preserve"> სამტრედიის რაიონი </t>
  </si>
  <si>
    <t xml:space="preserve"> საჩხერის რაიონი </t>
  </si>
  <si>
    <t xml:space="preserve"> ტყიბულის რაიონი </t>
  </si>
  <si>
    <t xml:space="preserve"> ქუთაისი </t>
  </si>
  <si>
    <t xml:space="preserve"> წყალტუბოს რაიონი </t>
  </si>
  <si>
    <t xml:space="preserve"> ჭიათურის რაიონი </t>
  </si>
  <si>
    <t xml:space="preserve"> ხარაგაულის რაიონი </t>
  </si>
  <si>
    <t xml:space="preserve"> ხონის რაიონი </t>
  </si>
  <si>
    <t>მცხეთა–მთიანეთი</t>
  </si>
  <si>
    <t xml:space="preserve"> ახალგორის რაიონი </t>
  </si>
  <si>
    <t xml:space="preserve"> დუშეთის რაიონი </t>
  </si>
  <si>
    <t xml:space="preserve"> თიანეთის რაიონი </t>
  </si>
  <si>
    <t xml:space="preserve"> მცხეთა</t>
  </si>
  <si>
    <t xml:space="preserve"> მცხეთის რაიონი </t>
  </si>
  <si>
    <t xml:space="preserve"> ყაზბეგის რაიონი </t>
  </si>
  <si>
    <t>სამეგრელო–ზემო სვანეთი</t>
  </si>
  <si>
    <t xml:space="preserve"> აბაშის რაიონი </t>
  </si>
  <si>
    <t xml:space="preserve"> ზუგდიდი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</si>
  <si>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</si>
  <si>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</si>
  <si>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</si>
  <si>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ფოთი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</si>
  <si>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</si>
  <si>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</si>
  <si>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</si>
  <si>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>სამცხე–ჯავახეთი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</si>
  <si>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</si>
  <si>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</si>
  <si>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</si>
  <si>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ახალციხე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</si>
  <si>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</si>
  <si>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</si>
  <si>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</si>
  <si>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</si>
  <si>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</si>
  <si>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</si>
  <si>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</si>
  <si>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</si>
  <si>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რუსთავი </t>
  </si>
  <si>
    <t xml:space="preserve"> წალკის რაიონი </t>
  </si>
  <si>
    <t xml:space="preserve"> გორი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</si>
  <si>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</si>
  <si>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</si>
  <si>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</si>
  <si>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</si>
  <si>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ბათუმი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</si>
  <si>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</si>
  <si>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</si>
  <si>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</si>
  <si>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</si>
  <si>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</si>
  <si>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>ზემო აფხაზეთი</t>
  </si>
  <si>
    <t xml:space="preserve"> ზემო აფხაზეთი </t>
  </si>
  <si>
    <t>სულ:</t>
  </si>
  <si>
    <t>საპენსიო+შშმპ+სოცდაუცველი</t>
  </si>
  <si>
    <t>პსპ+გეფა ბენეფიციართა რაოდენობა (თითო აფთიაქზე)</t>
  </si>
  <si>
    <t>პროგრამა ბენეფიციართა რაოდენობა (თითო აფთიაქზე)-არსებული</t>
  </si>
  <si>
    <t xml:space="preserve">ბენეფიციართა საშუალო რაოდენობა თითო აფთიაქისთვის </t>
  </si>
  <si>
    <t>აფთიაქების სავარაუდო საჭირო რაოდენობა ბენეფიციართა (პროგრამული -საპენსიო+შშმპ+სოცი) რაოდენობის მიხედვით</t>
  </si>
  <si>
    <t>აფთიაქების საჭირო რაოდენობა დამრგვალებით</t>
  </si>
  <si>
    <t>სამცხე</t>
  </si>
  <si>
    <t>რაჭა-ქვემო სვანეთი</t>
  </si>
  <si>
    <t>სამეგრელო</t>
  </si>
  <si>
    <t>ავერსი</t>
  </si>
  <si>
    <t>მოსახლეობა</t>
  </si>
  <si>
    <t>სამცხე-ჯავახეთი</t>
  </si>
  <si>
    <t>რაჭა-ლეჩხუმი</t>
  </si>
  <si>
    <t>პროგრამული აფთიაქი</t>
  </si>
  <si>
    <t>მედიკამენტის უტილიზაცია</t>
  </si>
  <si>
    <t>გვერდითი მოვლენები/უკჩვენება</t>
  </si>
  <si>
    <t>დამყოლობა</t>
  </si>
  <si>
    <t>გულ-სისხლძარღვთა</t>
  </si>
  <si>
    <t>ფარისებრი</t>
  </si>
  <si>
    <t>დიაბეტი</t>
  </si>
  <si>
    <t>ფქოდი</t>
  </si>
  <si>
    <t>პარკინსონი</t>
  </si>
  <si>
    <t>ეპილეფსია</t>
  </si>
  <si>
    <t>მოსარგებლე ბენეფიციარი თებერვალი</t>
  </si>
  <si>
    <t>შესასყიდი რაოდენობა 12 თვე (გათვალისიწნებულია  არსებული მარაგები)</t>
  </si>
  <si>
    <t>შესასყიდი რაოდენობა (გათვალისიწნებულია რაოდენობა შეფუთვაში)</t>
  </si>
  <si>
    <t>სავარაუდო ღირებულება ჯამი (ლარი)</t>
  </si>
  <si>
    <t>შენიშვნა:</t>
  </si>
  <si>
    <t>სტატუსი</t>
  </si>
  <si>
    <t>ვინაიდან ხარჯვის მაჩვენებლი არ შემცირებულა, მიუხედავად იმისა, რომ დეკემბრის თვიდან გაჩნდა კომბინირებული პრეპარატები, მიზანშეწონილია შესყიდვის გაგრძელება</t>
  </si>
  <si>
    <t>შესასყიდი რაოდენობა გადაცემულია შესყიდვების სააგენტოსთვის</t>
  </si>
  <si>
    <t>ამ ეტაპზე არ საჭიროებს შესყიდვას მარაგიდან გამომდინარე</t>
  </si>
  <si>
    <t>არ დგას ვადის გასვლის საფრთხის წინაშე</t>
  </si>
  <si>
    <t xml:space="preserve"> ხარჯვის მაჩვენებლი მცირედით შემცირებულა, სავარაუდოდ ლოსარტან–ჰიდროქლორთიაზიდს ხარჯზე, თუმცა ამ ეტაპზე მიზანშეწონილია შესყიდვის გაგრძელება, გრძელვადიანი მომქედების ვადის მქონე მედიკამენტის მიღებით</t>
  </si>
  <si>
    <t>ვინაიდან ამ ეტაპზე გვაქვს 8 თვის მარაგი, მიზანშეწონილია დავაკვირდეთ ხარჯვას პერინდოპრილ /ამლოდიპინთან  მიმართებით</t>
  </si>
  <si>
    <t>ვინაიდან ხარჯვის მაჩვენებლი არ შემცირებულა, მიუხედავად იმისა, რომ დეკემბრის თვიდან გაჩნდა 2 დასახელების ახალი ბეტა–ბლოკატორი, მიზანშეწონილია შესყიდვის გაგრძელება, ვინაიდან აღნიშნული ფორმა არის 100მგ–იანი და ბისოპროლოლი და ნებივოლოლი ვერ ჩაანაცვლებს სრულად</t>
  </si>
  <si>
    <t>არსებული ხარჯვის შენარჩუნების შემთხვევაში დგას ვადის გასვლის საფრთხის წინაშე</t>
  </si>
  <si>
    <t>მარაგი  მალე ამოიწურება ცენტრალურ საწყობში, მიზანშეწონილია შესყიდვის დაწყება</t>
  </si>
  <si>
    <t>არსებული მარაგებიდან გამომდინარე, მიზანშეწონილია შესყიდვის პროცედურების დაწყება</t>
  </si>
  <si>
    <t>საჭიროებს დაკვირვებას დინამიკაში. თებერვალში ხარჯვამ მოიკლო,სავარაუდოდ ისევ 20მგ–იანი ფორმის დატვირთვიდან გამომდინარე, რაც დეკემბერში დეფიციტში იყო</t>
  </si>
  <si>
    <t>თუ თებერვლის ხარჯვის მაჩვენებელი შენარჩუნდება, აჯობებს არ შევისყიდოთ 20მგიანი ფორმა და გავხარჯოთ 10მგ–იანი, ვინაიდან შესაძლებელია დადგეს ვადის გასვლის საფრთხის წინაშე</t>
  </si>
  <si>
    <t>მედიკამენტის ხარჯვა დაიწყო 2018 წლის დეკემბრიდან, შესაბამისად გაურკვევლია ხარჯის მაჩვენებელი</t>
  </si>
  <si>
    <t>ამ ხარჯვით დგას ვადის გასვლის საფრთხის წინაშე</t>
  </si>
  <si>
    <t>მედიკამენტის ხარჯვა დაიწყო 2019 წლის იანვრიდან, შესაბამისად გაურკვევლია ხარჯვის მაჩვენებელი</t>
  </si>
  <si>
    <t>არ დგას ვადის გასვლის საფრთხის წინაშე, არსებული ხარჯვის შენარჩუნების შემთვევაშიც კი</t>
  </si>
  <si>
    <t>თუ შენარჩუნდება ამ მაჩვენებელზე დადგება ვადის გასვლის საფრთხის წინაშე</t>
  </si>
  <si>
    <t>დგას ვადის გასვლის საფრთხის წინაშე</t>
  </si>
  <si>
    <t>მარაგი  მალე ამოიწურება ცენტრალურ საწყობში, მიზანშეწონილია შესყიდვის დაწყება და დიდი ვადის მქონე პრეპარატის მიღება</t>
  </si>
  <si>
    <t>მარაგი  მალე ამოიწურება ყველგან, მიზანშეწონილია შესყიდვის დაწყება. ვინაიდან ხარჯვის მაჩვენებელი არ შემცირებულა 50/500 იანი ფორმის შესყიდვის მიუხედავდ, მიზანშეწონილია შესყიდვა დიდი ვადის მქონე პრეპარატის მოთხოვნით</t>
  </si>
  <si>
    <t>მედიკამენტის ხარჯვა დაიწყო 2019 წლის იანვრიდან, შესაბამისად გაურკვევლია ხარჯის მაჩვენებელი</t>
  </si>
  <si>
    <t>± 2000 ცალი დგას ვადის გასვლის საფრთხის წინაშე 31 მაისამდე</t>
  </si>
  <si>
    <t>მიუხედავად იმისა, რომ მარაგშია, ცენტრალური საწყობის ვადის ამოწურვის გამო, მიზანშეწონილია შესყიდვა, მოქმედების დიდ ვადიანი პრეპარატის მოთხოვნით, არის ფლაკონებში 50 ტაბლეტიანი შეფუთვით, დაშლა შეუძლებებლია</t>
  </si>
  <si>
    <t>არ დგას ვადის გასვლის საფრთხის წინაშე ამ ხარჯვითაც</t>
  </si>
  <si>
    <t>1. ახალ დამატებულ მედიკამენტებზე  საწყბიდან ხარჯვის და ბენეფიციარზე ხარჯვის მაჩვენებელი არ არის ზუსტი, ვინაიდან რეალური ხარჯვა დაწყებულია იანვრიდან</t>
  </si>
  <si>
    <t>2. იმ მედიკამენტებზე, სადაც ამ ეტაპზე ხარჯვითი ნაწილი გაურკვევლია, გრაფაში მოცემულია თვის ყველაზე მაღალი მავენებელი</t>
  </si>
  <si>
    <t>3. ეპილეფსია და პარკინსონის საშ.ხარჯვა გამოყვანილია იანვრის და თებერვლის ან მხოლოდ თებერვლის ხარჯვაზე დაყრდნობით</t>
  </si>
  <si>
    <t>4. შესასყიდ რაოდენობებზე ველოდებით შესყიდვების სააგენტოს</t>
  </si>
  <si>
    <t>5. შესასყიდი რაოდენობა (ლურჯი სვეტი) გაანგარიშებულია 1 თვის წინ, შსაბამისად ამ ეტაპზე შესყიდვების სააგენტოც ამ რაოდენობას შეისყიდის</t>
  </si>
  <si>
    <t>ერთი ბენეფიციარის ხარჯვის მაჩვენებელი</t>
  </si>
  <si>
    <t>აფთიაქების სავარაუდო საჭირო რაოდენობა მიზნობრივის მიხედვით</t>
  </si>
  <si>
    <t xml:space="preserve">პროგრამაში არსებული აფთიაქები </t>
  </si>
  <si>
    <t>მედიკამენტის საჭიროება 1200 ბენეფიციარზე</t>
  </si>
  <si>
    <t>მედიკამენტის საჭიროება 12 000 ბენეფიციარზე</t>
  </si>
  <si>
    <t>ღირებულება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</si>
</sst>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_);_(* \(#,##0.0\);_(* &quot;-&quot;?_);_(@_)"/>
    <numFmt numFmtId="170" formatCode="_(* #,##0.0000000_);_(* \(#,##0.00000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10"/>
      <color theme="1"/>
      <name val="Sylfaen"/>
      <family val="1"/>
      <charset val="204"/>
    </font>
    <font>
      <sz val="10"/>
      <color indexed="8"/>
      <name val="Arial"/>
      <family val="2"/>
    </font>
    <font>
      <sz val="8"/>
      <color indexed="8"/>
      <name val="Geo_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Menlo Bold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Menlo Bold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0" fillId="0" borderId="0"/>
  </cellStyleXfs>
  <cellXfs count="254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" fontId="8" fillId="2" borderId="8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 wrapText="1"/>
    </xf>
    <xf numFmtId="9" fontId="3" fillId="0" borderId="8" xfId="0" applyNumberFormat="1" applyFont="1" applyBorder="1"/>
    <xf numFmtId="10" fontId="3" fillId="0" borderId="8" xfId="0" applyNumberFormat="1" applyFont="1" applyBorder="1"/>
    <xf numFmtId="43" fontId="3" fillId="0" borderId="0" xfId="1" applyFont="1"/>
    <xf numFmtId="43" fontId="3" fillId="0" borderId="0" xfId="1" applyFont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wrapText="1"/>
    </xf>
    <xf numFmtId="41" fontId="21" fillId="7" borderId="8" xfId="3" applyNumberFormat="1" applyFont="1" applyFill="1" applyBorder="1" applyAlignment="1">
      <alignment wrapText="1"/>
    </xf>
    <xf numFmtId="41" fontId="21" fillId="7" borderId="8" xfId="3" applyNumberFormat="1" applyFont="1" applyFill="1" applyBorder="1" applyAlignment="1">
      <alignment horizontal="right"/>
    </xf>
    <xf numFmtId="41" fontId="21" fillId="7" borderId="8" xfId="3" applyNumberFormat="1" applyFont="1" applyFill="1" applyBorder="1" applyAlignment="1">
      <alignment horizontal="left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wrapText="1"/>
    </xf>
    <xf numFmtId="43" fontId="6" fillId="7" borderId="8" xfId="1" applyFont="1" applyFill="1" applyBorder="1" applyAlignment="1">
      <alignment horizontal="center"/>
    </xf>
    <xf numFmtId="41" fontId="6" fillId="7" borderId="8" xfId="0" applyNumberFormat="1" applyFont="1" applyFill="1" applyBorder="1"/>
    <xf numFmtId="43" fontId="6" fillId="7" borderId="8" xfId="1" applyFont="1" applyFill="1" applyBorder="1"/>
    <xf numFmtId="43" fontId="6" fillId="7" borderId="8" xfId="1" applyFont="1" applyFill="1" applyBorder="1" applyAlignment="1">
      <alignment horizontal="right"/>
    </xf>
    <xf numFmtId="43" fontId="2" fillId="0" borderId="0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/>
    </xf>
    <xf numFmtId="43" fontId="8" fillId="2" borderId="8" xfId="1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 wrapText="1"/>
    </xf>
    <xf numFmtId="43" fontId="8" fillId="0" borderId="0" xfId="1" applyFont="1" applyAlignment="1">
      <alignment wrapText="1"/>
    </xf>
    <xf numFmtId="43" fontId="8" fillId="0" borderId="0" xfId="1" applyFont="1" applyAlignment="1">
      <alignment horizontal="center" wrapText="1"/>
    </xf>
    <xf numFmtId="43" fontId="3" fillId="0" borderId="0" xfId="0" applyNumberFormat="1" applyFont="1"/>
    <xf numFmtId="43" fontId="6" fillId="0" borderId="8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" fontId="12" fillId="4" borderId="8" xfId="2" applyNumberFormat="1" applyFont="1" applyFill="1" applyBorder="1" applyAlignment="1">
      <alignment horizontal="center" vertical="center" wrapText="1"/>
    </xf>
    <xf numFmtId="2" fontId="12" fillId="4" borderId="8" xfId="2" applyNumberFormat="1" applyFont="1" applyFill="1" applyBorder="1" applyAlignment="1">
      <alignment horizontal="center" vertical="center" wrapText="1"/>
    </xf>
    <xf numFmtId="1" fontId="22" fillId="4" borderId="8" xfId="0" applyNumberFormat="1" applyFont="1" applyFill="1" applyBorder="1" applyAlignment="1">
      <alignment horizontal="center" vertical="center" textRotation="90" wrapText="1"/>
    </xf>
    <xf numFmtId="1" fontId="22" fillId="0" borderId="8" xfId="0" applyNumberFormat="1" applyFont="1" applyFill="1" applyBorder="1" applyAlignment="1">
      <alignment horizontal="center" vertical="center" textRotation="90" wrapText="1"/>
    </xf>
    <xf numFmtId="1" fontId="12" fillId="4" borderId="8" xfId="0" applyNumberFormat="1" applyFont="1" applyFill="1" applyBorder="1" applyAlignment="1">
      <alignment horizontal="center" vertical="center" textRotation="90" wrapText="1"/>
    </xf>
    <xf numFmtId="0" fontId="12" fillId="0" borderId="8" xfId="0" applyNumberFormat="1" applyFont="1" applyFill="1" applyBorder="1" applyAlignment="1">
      <alignment horizontal="center" vertical="center" textRotation="90" wrapText="1"/>
    </xf>
    <xf numFmtId="43" fontId="12" fillId="0" borderId="8" xfId="1" applyFont="1" applyFill="1" applyBorder="1" applyAlignment="1">
      <alignment horizontal="center" vertical="center" textRotation="90" wrapText="1"/>
    </xf>
    <xf numFmtId="0" fontId="12" fillId="5" borderId="8" xfId="0" applyNumberFormat="1" applyFont="1" applyFill="1" applyBorder="1" applyAlignment="1">
      <alignment horizontal="center" vertic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43" fontId="3" fillId="6" borderId="8" xfId="1" applyFont="1" applyFill="1" applyBorder="1" applyAlignment="1">
      <alignment horizontal="center" vertical="center"/>
    </xf>
    <xf numFmtId="43" fontId="12" fillId="6" borderId="8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165" fontId="3" fillId="5" borderId="8" xfId="1" applyNumberFormat="1" applyFont="1" applyFill="1" applyBorder="1" applyAlignment="1">
      <alignment horizontal="center" vertical="center" wrapText="1"/>
    </xf>
    <xf numFmtId="165" fontId="3" fillId="6" borderId="8" xfId="1" applyNumberFormat="1" applyFont="1" applyFill="1" applyBorder="1" applyAlignment="1">
      <alignment horizontal="center" vertical="center" wrapText="1"/>
    </xf>
    <xf numFmtId="166" fontId="3" fillId="5" borderId="8" xfId="1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167" fontId="3" fillId="0" borderId="8" xfId="1" applyNumberFormat="1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left" vertical="top" wrapText="1"/>
    </xf>
    <xf numFmtId="43" fontId="12" fillId="7" borderId="8" xfId="1" applyFont="1" applyFill="1" applyBorder="1" applyAlignment="1">
      <alignment horizontal="center" vertical="center"/>
    </xf>
    <xf numFmtId="167" fontId="3" fillId="0" borderId="8" xfId="1" applyNumberFormat="1" applyFont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43" fontId="7" fillId="7" borderId="8" xfId="1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center" wrapText="1"/>
    </xf>
    <xf numFmtId="43" fontId="3" fillId="7" borderId="8" xfId="1" applyFont="1" applyFill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/>
    </xf>
    <xf numFmtId="167" fontId="3" fillId="7" borderId="8" xfId="1" applyNumberFormat="1" applyFont="1" applyFill="1" applyBorder="1" applyAlignment="1">
      <alignment horizontal="center" vertical="center"/>
    </xf>
    <xf numFmtId="168" fontId="3" fillId="7" borderId="8" xfId="1" applyNumberFormat="1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left" vertical="top" wrapText="1"/>
    </xf>
    <xf numFmtId="0" fontId="23" fillId="9" borderId="8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left" vertical="top" wrapText="1"/>
    </xf>
    <xf numFmtId="0" fontId="23" fillId="10" borderId="8" xfId="0" applyFont="1" applyFill="1" applyBorder="1" applyAlignment="1">
      <alignment horizontal="center" vertical="center" wrapText="1"/>
    </xf>
    <xf numFmtId="43" fontId="3" fillId="5" borderId="8" xfId="1" applyFont="1" applyFill="1" applyBorder="1" applyAlignment="1">
      <alignment horizontal="center" vertical="center" wrapText="1"/>
    </xf>
    <xf numFmtId="0" fontId="24" fillId="10" borderId="8" xfId="0" applyFont="1" applyFill="1" applyBorder="1" applyAlignment="1">
      <alignment horizontal="center" vertical="center" wrapText="1"/>
    </xf>
    <xf numFmtId="43" fontId="3" fillId="7" borderId="8" xfId="1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left" vertical="top" wrapText="1"/>
    </xf>
    <xf numFmtId="0" fontId="3" fillId="11" borderId="8" xfId="0" applyFont="1" applyFill="1" applyBorder="1" applyAlignment="1">
      <alignment horizontal="center" vertical="center" wrapText="1"/>
    </xf>
    <xf numFmtId="0" fontId="12" fillId="11" borderId="8" xfId="0" applyNumberFormat="1" applyFont="1" applyFill="1" applyBorder="1" applyAlignment="1">
      <alignment horizontal="center" vertical="center" wrapText="1"/>
    </xf>
    <xf numFmtId="0" fontId="23" fillId="12" borderId="8" xfId="0" applyFont="1" applyFill="1" applyBorder="1" applyAlignment="1">
      <alignment horizontal="left" vertical="top" wrapText="1"/>
    </xf>
    <xf numFmtId="0" fontId="3" fillId="12" borderId="8" xfId="0" applyFont="1" applyFill="1" applyBorder="1" applyAlignment="1">
      <alignment horizontal="center" vertical="center" wrapText="1"/>
    </xf>
    <xf numFmtId="0" fontId="12" fillId="1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/>
    </xf>
    <xf numFmtId="43" fontId="7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43" fontId="8" fillId="7" borderId="8" xfId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/>
    </xf>
    <xf numFmtId="43" fontId="0" fillId="0" borderId="8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8" fillId="7" borderId="8" xfId="1" applyFont="1" applyFill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10" borderId="3" xfId="0" applyFont="1" applyFill="1" applyBorder="1" applyAlignment="1">
      <alignment horizontal="center" vertical="center" wrapText="1"/>
    </xf>
    <xf numFmtId="0" fontId="23" fillId="10" borderId="9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6" fillId="7" borderId="1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43" fontId="6" fillId="7" borderId="3" xfId="1" applyFont="1" applyFill="1" applyBorder="1" applyAlignment="1">
      <alignment horizontal="center" vertical="center"/>
    </xf>
    <xf numFmtId="43" fontId="6" fillId="7" borderId="10" xfId="1" applyFont="1" applyFill="1" applyBorder="1" applyAlignment="1">
      <alignment horizontal="center" vertical="center"/>
    </xf>
    <xf numFmtId="43" fontId="6" fillId="7" borderId="9" xfId="1" applyFont="1" applyFill="1" applyBorder="1" applyAlignment="1">
      <alignment horizontal="center" vertical="center"/>
    </xf>
    <xf numFmtId="41" fontId="21" fillId="7" borderId="8" xfId="3" applyNumberFormat="1" applyFont="1" applyFill="1" applyBorder="1" applyAlignment="1">
      <alignment horizontal="center" vertical="center"/>
    </xf>
    <xf numFmtId="41" fontId="21" fillId="7" borderId="3" xfId="3" applyNumberFormat="1" applyFont="1" applyFill="1" applyBorder="1" applyAlignment="1">
      <alignment horizontal="center" vertical="center"/>
    </xf>
    <xf numFmtId="41" fontId="21" fillId="7" borderId="10" xfId="3" applyNumberFormat="1" applyFont="1" applyFill="1" applyBorder="1" applyAlignment="1">
      <alignment horizontal="center" vertical="center"/>
    </xf>
    <xf numFmtId="41" fontId="21" fillId="7" borderId="9" xfId="3" applyNumberFormat="1" applyFont="1" applyFill="1" applyBorder="1" applyAlignment="1">
      <alignment horizontal="center" vertical="center"/>
    </xf>
    <xf numFmtId="41" fontId="21" fillId="7" borderId="8" xfId="3" applyNumberFormat="1" applyFont="1" applyFill="1" applyBorder="1" applyAlignment="1">
      <alignment vertical="center"/>
    </xf>
    <xf numFmtId="0" fontId="6" fillId="7" borderId="8" xfId="0" applyFont="1" applyFill="1" applyBorder="1" applyAlignment="1">
      <alignment horizontal="center"/>
    </xf>
    <xf numFmtId="9" fontId="0" fillId="0" borderId="0" xfId="0" applyNumberFormat="1"/>
    <xf numFmtId="43" fontId="0" fillId="0" borderId="0" xfId="0" applyNumberFormat="1"/>
    <xf numFmtId="1" fontId="25" fillId="4" borderId="8" xfId="2" applyNumberFormat="1" applyFont="1" applyFill="1" applyBorder="1" applyAlignment="1">
      <alignment horizontal="center" vertical="center" wrapText="1"/>
    </xf>
    <xf numFmtId="2" fontId="25" fillId="4" borderId="8" xfId="2" applyNumberFormat="1" applyFont="1" applyFill="1" applyBorder="1" applyAlignment="1">
      <alignment horizontal="center" vertical="center" wrapText="1"/>
    </xf>
    <xf numFmtId="1" fontId="26" fillId="4" borderId="8" xfId="0" applyNumberFormat="1" applyFont="1" applyFill="1" applyBorder="1" applyAlignment="1">
      <alignment horizontal="center" vertical="center" textRotation="90" wrapText="1"/>
    </xf>
    <xf numFmtId="1" fontId="25" fillId="4" borderId="8" xfId="0" applyNumberFormat="1" applyFont="1" applyFill="1" applyBorder="1" applyAlignment="1">
      <alignment horizontal="center" vertical="center" textRotation="90" wrapText="1"/>
    </xf>
    <xf numFmtId="0" fontId="25" fillId="0" borderId="8" xfId="0" applyNumberFormat="1" applyFont="1" applyFill="1" applyBorder="1" applyAlignment="1">
      <alignment horizontal="center" vertical="center" textRotation="90" wrapText="1"/>
    </xf>
    <xf numFmtId="43" fontId="25" fillId="0" borderId="8" xfId="1" applyFont="1" applyFill="1" applyBorder="1" applyAlignment="1">
      <alignment horizontal="center" vertical="center" textRotation="90" wrapText="1"/>
    </xf>
    <xf numFmtId="43" fontId="25" fillId="13" borderId="8" xfId="1" applyFont="1" applyFill="1" applyBorder="1" applyAlignment="1">
      <alignment horizontal="center" vertical="center" textRotation="90" wrapText="1"/>
    </xf>
    <xf numFmtId="0" fontId="25" fillId="5" borderId="8" xfId="0" applyNumberFormat="1" applyFont="1" applyFill="1" applyBorder="1" applyAlignment="1">
      <alignment horizontal="center" vertical="center" textRotation="90" wrapText="1"/>
    </xf>
    <xf numFmtId="0" fontId="27" fillId="0" borderId="8" xfId="0" applyFont="1" applyBorder="1" applyAlignment="1">
      <alignment horizontal="center" vertical="center" wrapText="1"/>
    </xf>
    <xf numFmtId="43" fontId="27" fillId="14" borderId="8" xfId="1" applyFont="1" applyFill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8" fillId="3" borderId="8" xfId="0" applyFont="1" applyFill="1" applyBorder="1" applyAlignment="1">
      <alignment horizontal="center" vertical="top" wrapText="1"/>
    </xf>
    <xf numFmtId="0" fontId="29" fillId="3" borderId="8" xfId="0" applyFont="1" applyFill="1" applyBorder="1" applyAlignment="1">
      <alignment horizontal="center" vertical="center" wrapText="1"/>
    </xf>
    <xf numFmtId="43" fontId="27" fillId="6" borderId="8" xfId="1" applyFont="1" applyFill="1" applyBorder="1" applyAlignment="1">
      <alignment horizontal="center" vertical="center"/>
    </xf>
    <xf numFmtId="43" fontId="25" fillId="6" borderId="8" xfId="1" applyFont="1" applyFill="1" applyBorder="1" applyAlignment="1">
      <alignment horizontal="center" vertical="center"/>
    </xf>
    <xf numFmtId="165" fontId="27" fillId="5" borderId="8" xfId="1" applyNumberFormat="1" applyFont="1" applyFill="1" applyBorder="1" applyAlignment="1">
      <alignment horizontal="center" vertical="center" wrapText="1"/>
    </xf>
    <xf numFmtId="165" fontId="27" fillId="6" borderId="8" xfId="1" applyNumberFormat="1" applyFont="1" applyFill="1" applyBorder="1" applyAlignment="1">
      <alignment horizontal="center" vertical="center" wrapText="1"/>
    </xf>
    <xf numFmtId="166" fontId="27" fillId="5" borderId="8" xfId="1" applyNumberFormat="1" applyFont="1" applyFill="1" applyBorder="1" applyAlignment="1">
      <alignment horizontal="center" vertical="center" wrapText="1"/>
    </xf>
    <xf numFmtId="43" fontId="25" fillId="0" borderId="8" xfId="1" applyFont="1" applyFill="1" applyBorder="1" applyAlignment="1">
      <alignment horizontal="center" vertical="center"/>
    </xf>
    <xf numFmtId="165" fontId="27" fillId="13" borderId="8" xfId="1" applyNumberFormat="1" applyFont="1" applyFill="1" applyBorder="1" applyAlignment="1">
      <alignment horizontal="center" vertical="center"/>
    </xf>
    <xf numFmtId="165" fontId="27" fillId="5" borderId="8" xfId="0" applyNumberFormat="1" applyFont="1" applyFill="1" applyBorder="1" applyAlignment="1">
      <alignment horizontal="center" vertical="center" wrapText="1"/>
    </xf>
    <xf numFmtId="165" fontId="27" fillId="0" borderId="8" xfId="0" applyNumberFormat="1" applyFont="1" applyBorder="1" applyAlignment="1">
      <alignment horizontal="center" vertical="center" wrapText="1"/>
    </xf>
    <xf numFmtId="167" fontId="27" fillId="0" borderId="8" xfId="1" applyNumberFormat="1" applyFont="1" applyBorder="1" applyAlignment="1">
      <alignment horizontal="center" vertical="center" wrapText="1"/>
    </xf>
    <xf numFmtId="43" fontId="27" fillId="0" borderId="8" xfId="1" applyFont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167" fontId="6" fillId="0" borderId="8" xfId="1" applyNumberFormat="1" applyFont="1" applyBorder="1"/>
    <xf numFmtId="0" fontId="27" fillId="0" borderId="8" xfId="0" applyFont="1" applyBorder="1" applyAlignment="1">
      <alignment wrapText="1"/>
    </xf>
    <xf numFmtId="0" fontId="28" fillId="3" borderId="8" xfId="0" applyFont="1" applyFill="1" applyBorder="1" applyAlignment="1">
      <alignment horizontal="left" vertical="top" wrapText="1"/>
    </xf>
    <xf numFmtId="43" fontId="25" fillId="7" borderId="8" xfId="1" applyFont="1" applyFill="1" applyBorder="1" applyAlignment="1">
      <alignment horizontal="center" vertical="center"/>
    </xf>
    <xf numFmtId="165" fontId="25" fillId="13" borderId="8" xfId="1" applyNumberFormat="1" applyFont="1" applyFill="1" applyBorder="1" applyAlignment="1">
      <alignment horizontal="center" vertical="center"/>
    </xf>
    <xf numFmtId="167" fontId="27" fillId="0" borderId="8" xfId="1" applyNumberFormat="1" applyFont="1" applyBorder="1" applyAlignment="1">
      <alignment horizontal="center" vertical="center"/>
    </xf>
    <xf numFmtId="164" fontId="27" fillId="0" borderId="8" xfId="1" applyNumberFormat="1" applyFont="1" applyBorder="1" applyAlignment="1">
      <alignment horizontal="center" vertical="center" wrapText="1"/>
    </xf>
    <xf numFmtId="169" fontId="27" fillId="0" borderId="8" xfId="0" applyNumberFormat="1" applyFont="1" applyBorder="1" applyAlignment="1">
      <alignment horizontal="center" vertical="center" wrapText="1"/>
    </xf>
    <xf numFmtId="170" fontId="27" fillId="0" borderId="8" xfId="1" applyNumberFormat="1" applyFont="1" applyBorder="1" applyAlignment="1">
      <alignment horizontal="center" vertical="center" wrapText="1"/>
    </xf>
    <xf numFmtId="43" fontId="27" fillId="0" borderId="8" xfId="0" applyNumberFormat="1" applyFont="1" applyBorder="1" applyAlignment="1">
      <alignment wrapText="1"/>
    </xf>
    <xf numFmtId="0" fontId="28" fillId="3" borderId="3" xfId="0" applyFont="1" applyFill="1" applyBorder="1" applyAlignment="1">
      <alignment horizontal="center" vertical="center" wrapText="1"/>
    </xf>
    <xf numFmtId="43" fontId="30" fillId="0" borderId="8" xfId="1" applyFont="1" applyBorder="1"/>
    <xf numFmtId="0" fontId="28" fillId="3" borderId="10" xfId="0" applyFont="1" applyFill="1" applyBorder="1" applyAlignment="1">
      <alignment horizontal="center" vertical="center" wrapText="1"/>
    </xf>
    <xf numFmtId="165" fontId="27" fillId="13" borderId="8" xfId="1" applyNumberFormat="1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164" fontId="30" fillId="0" borderId="8" xfId="1" applyNumberFormat="1" applyFont="1" applyBorder="1"/>
    <xf numFmtId="0" fontId="28" fillId="3" borderId="9" xfId="0" applyFont="1" applyFill="1" applyBorder="1" applyAlignment="1">
      <alignment horizontal="center" vertical="center" wrapText="1"/>
    </xf>
    <xf numFmtId="167" fontId="30" fillId="0" borderId="8" xfId="1" applyNumberFormat="1" applyFont="1" applyBorder="1"/>
    <xf numFmtId="0" fontId="27" fillId="5" borderId="8" xfId="0" applyFont="1" applyFill="1" applyBorder="1" applyAlignment="1">
      <alignment horizontal="center" vertical="center" wrapText="1"/>
    </xf>
    <xf numFmtId="43" fontId="31" fillId="7" borderId="8" xfId="1" applyFont="1" applyFill="1" applyBorder="1" applyAlignment="1">
      <alignment horizontal="center" vertical="center" wrapText="1"/>
    </xf>
    <xf numFmtId="0" fontId="28" fillId="8" borderId="8" xfId="0" applyFont="1" applyFill="1" applyBorder="1" applyAlignment="1">
      <alignment horizontal="left" vertical="top" wrapText="1"/>
    </xf>
    <xf numFmtId="0" fontId="28" fillId="8" borderId="8" xfId="0" applyFont="1" applyFill="1" applyBorder="1" applyAlignment="1">
      <alignment horizontal="center" vertical="center" wrapText="1"/>
    </xf>
    <xf numFmtId="43" fontId="27" fillId="7" borderId="8" xfId="1" applyFont="1" applyFill="1" applyBorder="1" applyAlignment="1">
      <alignment horizontal="center" vertical="center" wrapText="1"/>
    </xf>
    <xf numFmtId="164" fontId="27" fillId="0" borderId="8" xfId="1" applyNumberFormat="1" applyFont="1" applyBorder="1" applyAlignment="1">
      <alignment horizontal="center" vertical="center"/>
    </xf>
    <xf numFmtId="43" fontId="27" fillId="0" borderId="8" xfId="0" applyNumberFormat="1" applyFont="1" applyBorder="1" applyAlignment="1">
      <alignment horizontal="center" vertical="center" wrapText="1"/>
    </xf>
    <xf numFmtId="167" fontId="27" fillId="7" borderId="8" xfId="1" applyNumberFormat="1" applyFont="1" applyFill="1" applyBorder="1" applyAlignment="1">
      <alignment horizontal="center" vertical="center"/>
    </xf>
    <xf numFmtId="168" fontId="27" fillId="7" borderId="8" xfId="1" applyNumberFormat="1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left" vertical="top" wrapText="1"/>
    </xf>
    <xf numFmtId="0" fontId="28" fillId="9" borderId="8" xfId="0" applyFont="1" applyFill="1" applyBorder="1" applyAlignment="1">
      <alignment horizontal="center" vertical="center" wrapText="1"/>
    </xf>
    <xf numFmtId="0" fontId="28" fillId="10" borderId="8" xfId="0" applyFont="1" applyFill="1" applyBorder="1" applyAlignment="1">
      <alignment horizontal="left" vertical="top" wrapText="1"/>
    </xf>
    <xf numFmtId="0" fontId="28" fillId="10" borderId="8" xfId="0" applyFont="1" applyFill="1" applyBorder="1" applyAlignment="1">
      <alignment horizontal="center" vertical="center" wrapText="1"/>
    </xf>
    <xf numFmtId="43" fontId="27" fillId="5" borderId="8" xfId="1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9" xfId="0" applyFont="1" applyFill="1" applyBorder="1" applyAlignment="1">
      <alignment horizontal="center" vertical="center" wrapText="1"/>
    </xf>
    <xf numFmtId="0" fontId="29" fillId="10" borderId="8" xfId="0" applyFont="1" applyFill="1" applyBorder="1" applyAlignment="1">
      <alignment horizontal="center" vertical="center" wrapText="1"/>
    </xf>
    <xf numFmtId="43" fontId="27" fillId="7" borderId="8" xfId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left" vertical="top" wrapText="1"/>
    </xf>
    <xf numFmtId="0" fontId="27" fillId="11" borderId="8" xfId="0" applyFont="1" applyFill="1" applyBorder="1" applyAlignment="1">
      <alignment horizontal="center" vertical="center" wrapText="1"/>
    </xf>
    <xf numFmtId="0" fontId="25" fillId="11" borderId="8" xfId="0" applyNumberFormat="1" applyFont="1" applyFill="1" applyBorder="1" applyAlignment="1">
      <alignment horizontal="center" vertical="center" wrapText="1"/>
    </xf>
    <xf numFmtId="43" fontId="30" fillId="7" borderId="8" xfId="1" applyFont="1" applyFill="1" applyBorder="1"/>
    <xf numFmtId="0" fontId="28" fillId="12" borderId="8" xfId="0" applyFont="1" applyFill="1" applyBorder="1" applyAlignment="1">
      <alignment horizontal="left" vertical="top" wrapText="1"/>
    </xf>
    <xf numFmtId="0" fontId="27" fillId="12" borderId="8" xfId="0" applyFont="1" applyFill="1" applyBorder="1" applyAlignment="1">
      <alignment horizontal="center" vertical="center" wrapText="1"/>
    </xf>
    <xf numFmtId="0" fontId="25" fillId="12" borderId="8" xfId="0" applyNumberFormat="1" applyFont="1" applyFill="1" applyBorder="1" applyAlignment="1">
      <alignment horizontal="center" vertical="center" wrapText="1"/>
    </xf>
    <xf numFmtId="164" fontId="30" fillId="7" borderId="8" xfId="1" applyNumberFormat="1" applyFont="1" applyFill="1" applyBorder="1"/>
    <xf numFmtId="167" fontId="30" fillId="7" borderId="8" xfId="1" applyNumberFormat="1" applyFont="1" applyFill="1" applyBorder="1"/>
    <xf numFmtId="0" fontId="28" fillId="12" borderId="3" xfId="0" applyFont="1" applyFill="1" applyBorder="1" applyAlignment="1">
      <alignment horizontal="center" vertical="center" wrapText="1"/>
    </xf>
    <xf numFmtId="0" fontId="28" fillId="12" borderId="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43" fontId="25" fillId="0" borderId="0" xfId="1" applyFont="1" applyFill="1" applyBorder="1" applyAlignment="1">
      <alignment horizontal="center" vertical="center"/>
    </xf>
    <xf numFmtId="43" fontId="31" fillId="0" borderId="16" xfId="0" applyNumberFormat="1" applyFont="1" applyBorder="1" applyAlignment="1">
      <alignment horizontal="center" vertical="center" wrapText="1"/>
    </xf>
    <xf numFmtId="43" fontId="27" fillId="0" borderId="0" xfId="1" applyFont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7" fillId="6" borderId="0" xfId="0" applyFont="1" applyFill="1" applyAlignment="1">
      <alignment horizontal="left" wrapText="1"/>
    </xf>
    <xf numFmtId="0" fontId="27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5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8" xfId="0" applyNumberFormat="1" applyFont="1" applyBorder="1"/>
    <xf numFmtId="1" fontId="3" fillId="0" borderId="8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/>
    </xf>
    <xf numFmtId="43" fontId="25" fillId="13" borderId="8" xfId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_01_IANVARI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22025371828522"/>
          <c:y val="7.407407407407407E-2"/>
          <c:w val="0.73542104111986006"/>
          <c:h val="0.60733194808982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'მოსახლეობა vs აფთიაქი კერძო სექ'!$D$3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სექ'!$D$4:$D$14</c:f>
              <c:numCache>
                <c:formatCode>_(* #,##0.00_);_(* \(#,##0.00\);_(* "-"??_);_(@_)</c:formatCode>
                <c:ptCount val="11"/>
                <c:pt idx="0">
                  <c:v>1108717</c:v>
                </c:pt>
                <c:pt idx="1">
                  <c:v>423986</c:v>
                </c:pt>
                <c:pt idx="2">
                  <c:v>263382</c:v>
                </c:pt>
                <c:pt idx="3">
                  <c:v>160504</c:v>
                </c:pt>
                <c:pt idx="4">
                  <c:v>94573</c:v>
                </c:pt>
                <c:pt idx="5">
                  <c:v>318583</c:v>
                </c:pt>
                <c:pt idx="6">
                  <c:v>551858</c:v>
                </c:pt>
                <c:pt idx="7">
                  <c:v>32089</c:v>
                </c:pt>
                <c:pt idx="8">
                  <c:v>330761</c:v>
                </c:pt>
                <c:pt idx="9">
                  <c:v>113350</c:v>
                </c:pt>
                <c:pt idx="10">
                  <c:v>333953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5-43F9-97A8-3F16F17E0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646352"/>
        <c:axId val="435637824"/>
      </c:barChart>
      <c:lineChart>
        <c:grouping val="standard"/>
        <c:varyColors val="0"/>
        <c:ser>
          <c:idx val="1"/>
          <c:order val="1"/>
          <c:tx>
            <c:strRef>
              <c:f>'მოსახლეობა vs აფთიაქი კერძო სექ'!$E$3</c:f>
              <c:strCache>
                <c:ptCount val="1"/>
                <c:pt idx="0">
                  <c:v>პსპ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სექ'!$E$4:$E$14</c:f>
              <c:numCache>
                <c:formatCode>General</c:formatCode>
                <c:ptCount val="11"/>
                <c:pt idx="0">
                  <c:v>115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11</c:v>
                </c:pt>
                <c:pt idx="6">
                  <c:v>33</c:v>
                </c:pt>
                <c:pt idx="7">
                  <c:v>2</c:v>
                </c:pt>
                <c:pt idx="8">
                  <c:v>12</c:v>
                </c:pt>
                <c:pt idx="9">
                  <c:v>5</c:v>
                </c:pt>
                <c:pt idx="10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3F9-97A8-3F16F17E07C9}"/>
            </c:ext>
          </c:extLst>
        </c:ser>
        <c:ser>
          <c:idx val="2"/>
          <c:order val="2"/>
          <c:tx>
            <c:strRef>
              <c:f>'მოსახლეობა vs აფთიაქი კერძო სექ'!$F$3</c:f>
              <c:strCache>
                <c:ptCount val="1"/>
                <c:pt idx="0">
                  <c:v>გეფა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სექ'!$F$4:$F$14</c:f>
              <c:numCache>
                <c:formatCode>General</c:formatCode>
                <c:ptCount val="11"/>
                <c:pt idx="0">
                  <c:v>149</c:v>
                </c:pt>
                <c:pt idx="1">
                  <c:v>12</c:v>
                </c:pt>
                <c:pt idx="2">
                  <c:v>11</c:v>
                </c:pt>
                <c:pt idx="3">
                  <c:v>3</c:v>
                </c:pt>
                <c:pt idx="4">
                  <c:v>0</c:v>
                </c:pt>
                <c:pt idx="5">
                  <c:v>9</c:v>
                </c:pt>
                <c:pt idx="6">
                  <c:v>24</c:v>
                </c:pt>
                <c:pt idx="7">
                  <c:v>0</c:v>
                </c:pt>
                <c:pt idx="8">
                  <c:v>14</c:v>
                </c:pt>
                <c:pt idx="9">
                  <c:v>2</c:v>
                </c:pt>
                <c:pt idx="1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5-43F9-97A8-3F16F17E07C9}"/>
            </c:ext>
          </c:extLst>
        </c:ser>
        <c:ser>
          <c:idx val="3"/>
          <c:order val="3"/>
          <c:tx>
            <c:strRef>
              <c:f>'მოსახლეობა vs აფთიაქი კერძო სექ'!$G$3</c:f>
              <c:strCache>
                <c:ptCount val="1"/>
                <c:pt idx="0">
                  <c:v>ავერსი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'მოსახლეობა vs აფთიაქი კერძო სექ'!$C$4:$C$14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'მოსახლეობა vs აფთიაქი კერძო სექ'!$G$4:$G$14</c:f>
              <c:numCache>
                <c:formatCode>General</c:formatCode>
                <c:ptCount val="11"/>
                <c:pt idx="0">
                  <c:v>110</c:v>
                </c:pt>
                <c:pt idx="1">
                  <c:v>13</c:v>
                </c:pt>
                <c:pt idx="2">
                  <c:v>10</c:v>
                </c:pt>
                <c:pt idx="3">
                  <c:v>10</c:v>
                </c:pt>
                <c:pt idx="4">
                  <c:v>1</c:v>
                </c:pt>
                <c:pt idx="5">
                  <c:v>14</c:v>
                </c:pt>
                <c:pt idx="6">
                  <c:v>40</c:v>
                </c:pt>
                <c:pt idx="7">
                  <c:v>1</c:v>
                </c:pt>
                <c:pt idx="9">
                  <c:v>7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B5-43F9-97A8-3F16F17E0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62936"/>
        <c:axId val="428256048"/>
      </c:lineChart>
      <c:catAx>
        <c:axId val="43564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37824"/>
        <c:crosses val="autoZero"/>
        <c:auto val="1"/>
        <c:lblAlgn val="ctr"/>
        <c:lblOffset val="100"/>
        <c:noMultiLvlLbl val="0"/>
      </c:catAx>
      <c:valAx>
        <c:axId val="43563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46352"/>
        <c:crosses val="autoZero"/>
        <c:crossBetween val="between"/>
      </c:valAx>
      <c:valAx>
        <c:axId val="4282560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262936"/>
        <c:crosses val="max"/>
        <c:crossBetween val="between"/>
      </c:valAx>
      <c:catAx>
        <c:axId val="428262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25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'მიზნობრივი ბენეფ vs აფთიაქი პრო'!$D$3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'მიზნობრივი ბენეფ vs აფთიაქი პრო'!$C$4:$C$14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'მიზნობრივი ბენეფ vs აფთიაქი პრო'!$D$4:$D$14</c:f>
              <c:numCache>
                <c:formatCode>_(* #,##0.00_);_(* \(#,##0.00\);_(* "-"??_);_(@_)</c:formatCode>
                <c:ptCount val="11"/>
                <c:pt idx="0">
                  <c:v>375720</c:v>
                </c:pt>
                <c:pt idx="1">
                  <c:v>148674</c:v>
                </c:pt>
                <c:pt idx="2">
                  <c:v>122793</c:v>
                </c:pt>
                <c:pt idx="3">
                  <c:v>54565</c:v>
                </c:pt>
                <c:pt idx="4">
                  <c:v>41093</c:v>
                </c:pt>
                <c:pt idx="5">
                  <c:v>144525</c:v>
                </c:pt>
                <c:pt idx="6">
                  <c:v>234722</c:v>
                </c:pt>
                <c:pt idx="7">
                  <c:v>29118</c:v>
                </c:pt>
                <c:pt idx="8">
                  <c:v>202608</c:v>
                </c:pt>
                <c:pt idx="9">
                  <c:v>55549</c:v>
                </c:pt>
                <c:pt idx="10">
                  <c:v>120548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6E5-886B-E035F4F6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666024"/>
        <c:axId val="409666352"/>
      </c:barChart>
      <c:lineChart>
        <c:grouping val="standard"/>
        <c:varyColors val="0"/>
        <c:ser>
          <c:idx val="1"/>
          <c:order val="1"/>
          <c:tx>
            <c:strRef>
              <c:f>'მიზნობრივი ბენეფ vs აფთიაქი პრო'!$E$3</c:f>
              <c:strCache>
                <c:ptCount val="1"/>
                <c:pt idx="0">
                  <c:v>პროგრამული აფთიაქი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'მიზნობრივი ბენეფ vs აფთიაქი პრო'!$C$4:$C$14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'მიზნობრივი ბენეფ vs აფთიაქი პრო'!$E$4:$E$14</c:f>
              <c:numCache>
                <c:formatCode>General</c:formatCode>
                <c:ptCount val="11"/>
                <c:pt idx="0">
                  <c:v>19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4-46E5-886B-E035F4F6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379248"/>
        <c:axId val="441373016"/>
      </c:lineChart>
      <c:catAx>
        <c:axId val="40966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666352"/>
        <c:crosses val="autoZero"/>
        <c:auto val="1"/>
        <c:lblAlgn val="ctr"/>
        <c:lblOffset val="100"/>
        <c:noMultiLvlLbl val="0"/>
      </c:catAx>
      <c:valAx>
        <c:axId val="40966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666024"/>
        <c:crosses val="autoZero"/>
        <c:crossBetween val="between"/>
      </c:valAx>
      <c:valAx>
        <c:axId val="4413730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79248"/>
        <c:crosses val="max"/>
        <c:crossBetween val="between"/>
      </c:valAx>
      <c:catAx>
        <c:axId val="441379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1373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'მიზნობრივი ბენეფ vs აფთიაქი პრო'!$D$23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'მიზნობრივი ბენეფ vs აფთიაქი პრო'!$C$24:$C$34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'მიზნობრივი ბენეფ vs აფთიაქი პრო'!$D$24:$D$34</c:f>
              <c:numCache>
                <c:formatCode>_(* #,##0.00_);_(* \(#,##0.00\);_(* "-"??_);_(@_)</c:formatCode>
                <c:ptCount val="11"/>
                <c:pt idx="0">
                  <c:v>180345.60000000001</c:v>
                </c:pt>
                <c:pt idx="1">
                  <c:v>71363.520000000004</c:v>
                </c:pt>
                <c:pt idx="2">
                  <c:v>58940.639999999999</c:v>
                </c:pt>
                <c:pt idx="3">
                  <c:v>26191.200000000001</c:v>
                </c:pt>
                <c:pt idx="4">
                  <c:v>19724.64</c:v>
                </c:pt>
                <c:pt idx="5">
                  <c:v>69372</c:v>
                </c:pt>
                <c:pt idx="6">
                  <c:v>112666.56</c:v>
                </c:pt>
                <c:pt idx="7">
                  <c:v>13976.64</c:v>
                </c:pt>
                <c:pt idx="8">
                  <c:v>97251.839999999997</c:v>
                </c:pt>
                <c:pt idx="9">
                  <c:v>26663.520000000004</c:v>
                </c:pt>
                <c:pt idx="10">
                  <c:v>57863.040000000001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1-4F2D-B2B5-C6C0AB03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90746864"/>
        <c:axId val="1790737712"/>
      </c:barChart>
      <c:lineChart>
        <c:grouping val="standard"/>
        <c:varyColors val="0"/>
        <c:ser>
          <c:idx val="1"/>
          <c:order val="1"/>
          <c:tx>
            <c:strRef>
              <c:f>'მიზნობრივი ბენეფ vs აფთიაქი პრო'!$E$23</c:f>
              <c:strCache>
                <c:ptCount val="1"/>
                <c:pt idx="0">
                  <c:v>პროგრამული აფთიაქი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'მიზნობრივი ბენეფ vs აფთიაქი პრო'!$C$24:$C$34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'მიზნობრივი ბენეფ vs აფთიაქი პრო'!$E$24:$E$34</c:f>
              <c:numCache>
                <c:formatCode>General</c:formatCode>
                <c:ptCount val="11"/>
                <c:pt idx="0">
                  <c:v>52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1-4F2D-B2B5-C6C0AB030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925904"/>
        <c:axId val="1877937552"/>
      </c:lineChart>
      <c:catAx>
        <c:axId val="179074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737712"/>
        <c:crosses val="autoZero"/>
        <c:auto val="1"/>
        <c:lblAlgn val="ctr"/>
        <c:lblOffset val="100"/>
        <c:noMultiLvlLbl val="0"/>
      </c:catAx>
      <c:valAx>
        <c:axId val="179073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746864"/>
        <c:crosses val="autoZero"/>
        <c:crossBetween val="between"/>
      </c:valAx>
      <c:valAx>
        <c:axId val="1877937552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925904"/>
        <c:crosses val="max"/>
        <c:crossBetween val="between"/>
      </c:valAx>
      <c:catAx>
        <c:axId val="1877925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77937552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'აფთიაქები მეფინგი'!$D$3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'აფთიაქები მეფინგი'!$C$4:$C$14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'აფთიაქები მეფინგი'!$D$4:$D$14</c:f>
              <c:numCache>
                <c:formatCode>_(* #,##0.00_);_(* \(#,##0.00\);_(* "-"??_);_(@_)</c:formatCode>
                <c:ptCount val="11"/>
                <c:pt idx="0">
                  <c:v>375720</c:v>
                </c:pt>
                <c:pt idx="1">
                  <c:v>148674</c:v>
                </c:pt>
                <c:pt idx="2">
                  <c:v>122793</c:v>
                </c:pt>
                <c:pt idx="3">
                  <c:v>54565</c:v>
                </c:pt>
                <c:pt idx="4">
                  <c:v>41093</c:v>
                </c:pt>
                <c:pt idx="5">
                  <c:v>144525</c:v>
                </c:pt>
                <c:pt idx="6">
                  <c:v>234722</c:v>
                </c:pt>
                <c:pt idx="7">
                  <c:v>29118</c:v>
                </c:pt>
                <c:pt idx="8">
                  <c:v>202608</c:v>
                </c:pt>
                <c:pt idx="9">
                  <c:v>55549</c:v>
                </c:pt>
                <c:pt idx="10">
                  <c:v>120548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0-4B61-81CF-740BFA7A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600848"/>
        <c:axId val="446595600"/>
      </c:barChart>
      <c:lineChart>
        <c:grouping val="standard"/>
        <c:varyColors val="0"/>
        <c:ser>
          <c:idx val="1"/>
          <c:order val="1"/>
          <c:tx>
            <c:strRef>
              <c:f>'აფთიაქები მეფინგი'!$E$3</c:f>
              <c:strCache>
                <c:ptCount val="1"/>
                <c:pt idx="0">
                  <c:v>პროგრამული აფთიაქი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'აფთიაქები მეფინგი'!$C$4:$C$14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'აფთიაქები მეფინგი'!$E$4:$E$14</c:f>
              <c:numCache>
                <c:formatCode>General</c:formatCode>
                <c:ptCount val="11"/>
                <c:pt idx="0">
                  <c:v>38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13</c:v>
                </c:pt>
                <c:pt idx="7">
                  <c:v>4</c:v>
                </c:pt>
                <c:pt idx="8">
                  <c:v>12</c:v>
                </c:pt>
                <c:pt idx="9">
                  <c:v>3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B61-81CF-740BFA7A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578216"/>
        <c:axId val="446575264"/>
      </c:lineChart>
      <c:catAx>
        <c:axId val="44660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95600"/>
        <c:crosses val="autoZero"/>
        <c:auto val="1"/>
        <c:lblAlgn val="ctr"/>
        <c:lblOffset val="100"/>
        <c:noMultiLvlLbl val="0"/>
      </c:catAx>
      <c:valAx>
        <c:axId val="44659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600848"/>
        <c:crosses val="autoZero"/>
        <c:crossBetween val="between"/>
      </c:valAx>
      <c:valAx>
        <c:axId val="446575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578216"/>
        <c:crosses val="max"/>
        <c:crossBetween val="between"/>
      </c:valAx>
      <c:catAx>
        <c:axId val="446578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575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'აფთიაქები მეფინგი'!$D$20</c:f>
              <c:strCache>
                <c:ptCount val="1"/>
                <c:pt idx="0">
                  <c:v>მოსახლეობა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'აფთიაქები მეფინგი'!$C$21:$C$31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'აფთიაქები მეფინგი'!$D$21:$D$31</c:f>
              <c:numCache>
                <c:formatCode>_(* #,##0.00_);_(* \(#,##0.00\);_(* "-"??_);_(@_)</c:formatCode>
                <c:ptCount val="11"/>
                <c:pt idx="0">
                  <c:v>180345.60000000001</c:v>
                </c:pt>
                <c:pt idx="1">
                  <c:v>71363.520000000004</c:v>
                </c:pt>
                <c:pt idx="2">
                  <c:v>58940.639999999999</c:v>
                </c:pt>
                <c:pt idx="3">
                  <c:v>26191.200000000001</c:v>
                </c:pt>
                <c:pt idx="4">
                  <c:v>19724.64</c:v>
                </c:pt>
                <c:pt idx="5">
                  <c:v>69372</c:v>
                </c:pt>
                <c:pt idx="6">
                  <c:v>112666.56</c:v>
                </c:pt>
                <c:pt idx="7">
                  <c:v>13976.64</c:v>
                </c:pt>
                <c:pt idx="8">
                  <c:v>97251.839999999997</c:v>
                </c:pt>
                <c:pt idx="9">
                  <c:v>26663.520000000004</c:v>
                </c:pt>
                <c:pt idx="10">
                  <c:v>57863.040000000001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C-4B53-B17D-33DD0BD4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876240"/>
        <c:axId val="1651874160"/>
      </c:barChart>
      <c:lineChart>
        <c:grouping val="standard"/>
        <c:varyColors val="0"/>
        <c:ser>
          <c:idx val="1"/>
          <c:order val="1"/>
          <c:tx>
            <c:strRef>
              <c:f>'აფთიაქები მეფინგი'!$E$20</c:f>
              <c:strCache>
                <c:ptCount val="1"/>
                <c:pt idx="0">
                  <c:v>პროგრამული აფთიაქი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'აფთიაქები მეფინგი'!$C$21:$C$31</c:f>
              <c:strCache>
                <c:ptCount val="11"/>
                <c:pt idx="0">
                  <c:v>თბილისი</c:v>
                </c:pt>
                <c:pt idx="1">
                  <c:v>ქვემო ქართლი</c:v>
                </c:pt>
                <c:pt idx="2">
                  <c:v>შიდა ქართლი</c:v>
                </c:pt>
                <c:pt idx="3">
                  <c:v>სამცხე-ჯავახეთი</c:v>
                </c:pt>
                <c:pt idx="4">
                  <c:v>მცხეთა-მთიანეთი</c:v>
                </c:pt>
                <c:pt idx="5">
                  <c:v>კახეთი</c:v>
                </c:pt>
                <c:pt idx="6">
                  <c:v>იმერეთი</c:v>
                </c:pt>
                <c:pt idx="7">
                  <c:v>რაჭა-ლეჩხუმი</c:v>
                </c:pt>
                <c:pt idx="8">
                  <c:v>სამეგრელო</c:v>
                </c:pt>
                <c:pt idx="9">
                  <c:v>გურია</c:v>
                </c:pt>
                <c:pt idx="10">
                  <c:v>აჭარა</c:v>
                </c:pt>
              </c:strCache>
            </c:strRef>
          </c:cat>
          <c:val>
            <c:numRef>
              <c:f>'აფთიაქები მეფინგი'!$E$21:$E$31</c:f>
              <c:numCache>
                <c:formatCode>General</c:formatCode>
                <c:ptCount val="11"/>
                <c:pt idx="0">
                  <c:v>52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11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C-4B53-B17D-33DD0BD4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846512"/>
        <c:axId val="1876845264"/>
      </c:lineChart>
      <c:catAx>
        <c:axId val="165187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74160"/>
        <c:crosses val="autoZero"/>
        <c:auto val="1"/>
        <c:lblAlgn val="ctr"/>
        <c:lblOffset val="100"/>
        <c:noMultiLvlLbl val="0"/>
      </c:catAx>
      <c:valAx>
        <c:axId val="16518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76240"/>
        <c:crosses val="autoZero"/>
        <c:crossBetween val="between"/>
      </c:valAx>
      <c:valAx>
        <c:axId val="18768452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846512"/>
        <c:crosses val="max"/>
        <c:crossBetween val="between"/>
      </c:valAx>
      <c:catAx>
        <c:axId val="1876846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76845264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566737</xdr:colOff>
      <xdr:row>7</xdr:row>
      <xdr:rowOff>19050</xdr:rowOff>
    </xdr:from>
    <xdr:to>
      <xdr:col>15</xdr:col>
      <xdr:colOff>261937</xdr:colOff>
      <xdr:row>21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361951</xdr:colOff>
      <xdr:row>2</xdr:row>
      <xdr:rowOff>85726</xdr:rowOff>
    </xdr:from>
    <xdr:to>
      <xdr:col>15</xdr:col>
      <xdr:colOff>600075</xdr:colOff>
      <xdr:row>16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20</xdr:row>
      <xdr:rowOff>76200</xdr:rowOff>
    </xdr:from>
    <xdr:to>
      <xdr:col>16</xdr:col>
      <xdr:colOff>76200</xdr:colOff>
      <xdr:row>35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180975</xdr:rowOff>
    </xdr:from>
    <xdr:to>
      <xdr:col>21</xdr:col>
      <xdr:colOff>0</xdr:colOff>
      <xdr:row>15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18</xdr:row>
      <xdr:rowOff>0</xdr:rowOff>
    </xdr:from>
    <xdr:to>
      <xdr:col>20</xdr:col>
      <xdr:colOff>542925</xdr:colOff>
      <xdr:row>35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5;&#4320;&#4317;&#4316;&#4312;&#4313;&#4323;&#4314;&#4312;%20&#4315;&#4308;&#4307;&#4312;&#4313;&#4304;&#4315;&#4308;&#4316;&#4322;&#4308;&#4305;&#4312;/Drugs%20for%20Asthma_COP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Components"/>
      <sheetName val="PrevaleceIncidence"/>
      <sheetName val="Medications_doses"/>
      <sheetName val="ASTHMA"/>
      <sheetName val="COPD"/>
      <sheetName val="Combined_ASTHMA_COPD"/>
    </sheetNames>
    <sheetDataSet>
      <sheetData sheetId="0" refreshError="1"/>
      <sheetData sheetId="1">
        <row r="6">
          <cell r="C6">
            <v>346.1</v>
          </cell>
        </row>
        <row r="8">
          <cell r="C8">
            <v>796.2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zoomScale="115" zoomScaleNormal="115" workbookViewId="0">
      <selection activeCell="T16" sqref="T16"/>
    </sheetView>
  </sheetViews>
  <sheetFormatPr defaultRowHeight="15"/>
  <cols>
    <col min="1" max="1" width="16" style="23" customWidth="1"/>
    <col min="2" max="2" width="26.42578125" style="7" customWidth="1"/>
    <col min="3" max="3" width="21.140625" style="53" customWidth="1"/>
    <col min="4" max="4" width="21.140625" style="54" customWidth="1"/>
    <col min="5" max="5" width="9.140625" style="29"/>
    <col min="6" max="6" width="0" style="29" hidden="1" customWidth="1"/>
    <col min="7" max="7" width="11.42578125" style="29" hidden="1" customWidth="1"/>
    <col min="8" max="9" width="11.42578125" style="29" customWidth="1"/>
    <col min="10" max="10" width="9.42578125" style="29" customWidth="1"/>
    <col min="11" max="11" width="18.85546875" style="1" hidden="1" customWidth="1"/>
    <col min="12" max="12" width="9.140625" style="1" customWidth="1"/>
    <col min="13" max="13" width="10.140625" style="36" bestFit="1" customWidth="1"/>
    <col min="14" max="14" width="10" style="36" bestFit="1" customWidth="1"/>
    <col min="15" max="15" width="19" style="36" customWidth="1"/>
    <col min="16" max="16" width="13.7109375" style="1" customWidth="1"/>
    <col min="17" max="17" width="17.85546875" style="1" customWidth="1"/>
    <col min="18" max="18" width="15" style="29" customWidth="1"/>
    <col min="19" max="209" width="9.140625" style="1"/>
    <col min="210" max="210" width="3.7109375" style="1" customWidth="1"/>
    <col min="211" max="211" width="12.85546875" style="1" customWidth="1"/>
    <col min="212" max="212" width="37.5703125" style="1" bestFit="1" customWidth="1"/>
    <col min="213" max="213" width="13.85546875" style="1" customWidth="1"/>
    <col min="214" max="214" width="13" style="1" customWidth="1"/>
    <col min="215" max="215" width="13.42578125" style="1" customWidth="1"/>
    <col min="216" max="216" width="11.28515625" style="1" customWidth="1"/>
    <col min="217" max="217" width="20.85546875" style="1" bestFit="1" customWidth="1"/>
    <col min="218" max="218" width="13.28515625" style="1" customWidth="1"/>
    <col min="219" max="219" width="19.7109375" style="1" customWidth="1"/>
    <col min="220" max="220" width="11.5703125" style="1" customWidth="1"/>
    <col min="221" max="221" width="23.28515625" style="1" customWidth="1"/>
    <col min="222" max="222" width="15.5703125" style="1" customWidth="1"/>
    <col min="223" max="465" width="9.140625" style="1"/>
    <col min="466" max="466" width="3.7109375" style="1" customWidth="1"/>
    <col min="467" max="467" width="12.85546875" style="1" customWidth="1"/>
    <col min="468" max="468" width="37.5703125" style="1" bestFit="1" customWidth="1"/>
    <col min="469" max="469" width="13.85546875" style="1" customWidth="1"/>
    <col min="470" max="470" width="13" style="1" customWidth="1"/>
    <col min="471" max="471" width="13.42578125" style="1" customWidth="1"/>
    <col min="472" max="472" width="11.28515625" style="1" customWidth="1"/>
    <col min="473" max="473" width="20.85546875" style="1" bestFit="1" customWidth="1"/>
    <col min="474" max="474" width="13.28515625" style="1" customWidth="1"/>
    <col min="475" max="475" width="19.7109375" style="1" customWidth="1"/>
    <col min="476" max="476" width="11.5703125" style="1" customWidth="1"/>
    <col min="477" max="477" width="23.28515625" style="1" customWidth="1"/>
    <col min="478" max="478" width="15.5703125" style="1" customWidth="1"/>
    <col min="479" max="721" width="9.140625" style="1"/>
    <col min="722" max="722" width="3.7109375" style="1" customWidth="1"/>
    <col min="723" max="723" width="12.85546875" style="1" customWidth="1"/>
    <col min="724" max="724" width="37.5703125" style="1" bestFit="1" customWidth="1"/>
    <col min="725" max="725" width="13.85546875" style="1" customWidth="1"/>
    <col min="726" max="726" width="13" style="1" customWidth="1"/>
    <col min="727" max="727" width="13.42578125" style="1" customWidth="1"/>
    <col min="728" max="728" width="11.28515625" style="1" customWidth="1"/>
    <col min="729" max="729" width="20.85546875" style="1" bestFit="1" customWidth="1"/>
    <col min="730" max="730" width="13.28515625" style="1" customWidth="1"/>
    <col min="731" max="731" width="19.7109375" style="1" customWidth="1"/>
    <col min="732" max="732" width="11.5703125" style="1" customWidth="1"/>
    <col min="733" max="733" width="23.28515625" style="1" customWidth="1"/>
    <col min="734" max="734" width="15.5703125" style="1" customWidth="1"/>
    <col min="735" max="977" width="9.140625" style="1"/>
    <col min="978" max="978" width="3.7109375" style="1" customWidth="1"/>
    <col min="979" max="979" width="12.85546875" style="1" customWidth="1"/>
    <col min="980" max="980" width="37.5703125" style="1" bestFit="1" customWidth="1"/>
    <col min="981" max="981" width="13.85546875" style="1" customWidth="1"/>
    <col min="982" max="982" width="13" style="1" customWidth="1"/>
    <col min="983" max="983" width="13.42578125" style="1" customWidth="1"/>
    <col min="984" max="984" width="11.28515625" style="1" customWidth="1"/>
    <col min="985" max="985" width="20.85546875" style="1" bestFit="1" customWidth="1"/>
    <col min="986" max="986" width="13.28515625" style="1" customWidth="1"/>
    <col min="987" max="987" width="19.7109375" style="1" customWidth="1"/>
    <col min="988" max="988" width="11.5703125" style="1" customWidth="1"/>
    <col min="989" max="989" width="23.28515625" style="1" customWidth="1"/>
    <col min="990" max="990" width="15.5703125" style="1" customWidth="1"/>
    <col min="991" max="1233" width="9.140625" style="1"/>
    <col min="1234" max="1234" width="3.7109375" style="1" customWidth="1"/>
    <col min="1235" max="1235" width="12.85546875" style="1" customWidth="1"/>
    <col min="1236" max="1236" width="37.5703125" style="1" bestFit="1" customWidth="1"/>
    <col min="1237" max="1237" width="13.85546875" style="1" customWidth="1"/>
    <col min="1238" max="1238" width="13" style="1" customWidth="1"/>
    <col min="1239" max="1239" width="13.42578125" style="1" customWidth="1"/>
    <col min="1240" max="1240" width="11.28515625" style="1" customWidth="1"/>
    <col min="1241" max="1241" width="20.85546875" style="1" bestFit="1" customWidth="1"/>
    <col min="1242" max="1242" width="13.28515625" style="1" customWidth="1"/>
    <col min="1243" max="1243" width="19.7109375" style="1" customWidth="1"/>
    <col min="1244" max="1244" width="11.5703125" style="1" customWidth="1"/>
    <col min="1245" max="1245" width="23.28515625" style="1" customWidth="1"/>
    <col min="1246" max="1246" width="15.5703125" style="1" customWidth="1"/>
    <col min="1247" max="1489" width="9.140625" style="1"/>
    <col min="1490" max="1490" width="3.7109375" style="1" customWidth="1"/>
    <col min="1491" max="1491" width="12.85546875" style="1" customWidth="1"/>
    <col min="1492" max="1492" width="37.5703125" style="1" bestFit="1" customWidth="1"/>
    <col min="1493" max="1493" width="13.85546875" style="1" customWidth="1"/>
    <col min="1494" max="1494" width="13" style="1" customWidth="1"/>
    <col min="1495" max="1495" width="13.42578125" style="1" customWidth="1"/>
    <col min="1496" max="1496" width="11.28515625" style="1" customWidth="1"/>
    <col min="1497" max="1497" width="20.85546875" style="1" bestFit="1" customWidth="1"/>
    <col min="1498" max="1498" width="13.28515625" style="1" customWidth="1"/>
    <col min="1499" max="1499" width="19.7109375" style="1" customWidth="1"/>
    <col min="1500" max="1500" width="11.5703125" style="1" customWidth="1"/>
    <col min="1501" max="1501" width="23.28515625" style="1" customWidth="1"/>
    <col min="1502" max="1502" width="15.5703125" style="1" customWidth="1"/>
    <col min="1503" max="1745" width="9.140625" style="1"/>
    <col min="1746" max="1746" width="3.7109375" style="1" customWidth="1"/>
    <col min="1747" max="1747" width="12.85546875" style="1" customWidth="1"/>
    <col min="1748" max="1748" width="37.5703125" style="1" bestFit="1" customWidth="1"/>
    <col min="1749" max="1749" width="13.85546875" style="1" customWidth="1"/>
    <col min="1750" max="1750" width="13" style="1" customWidth="1"/>
    <col min="1751" max="1751" width="13.42578125" style="1" customWidth="1"/>
    <col min="1752" max="1752" width="11.28515625" style="1" customWidth="1"/>
    <col min="1753" max="1753" width="20.85546875" style="1" bestFit="1" customWidth="1"/>
    <col min="1754" max="1754" width="13.28515625" style="1" customWidth="1"/>
    <col min="1755" max="1755" width="19.7109375" style="1" customWidth="1"/>
    <col min="1756" max="1756" width="11.5703125" style="1" customWidth="1"/>
    <col min="1757" max="1757" width="23.28515625" style="1" customWidth="1"/>
    <col min="1758" max="1758" width="15.5703125" style="1" customWidth="1"/>
    <col min="1759" max="2001" width="9.140625" style="1"/>
    <col min="2002" max="2002" width="3.7109375" style="1" customWidth="1"/>
    <col min="2003" max="2003" width="12.85546875" style="1" customWidth="1"/>
    <col min="2004" max="2004" width="37.5703125" style="1" bestFit="1" customWidth="1"/>
    <col min="2005" max="2005" width="13.85546875" style="1" customWidth="1"/>
    <col min="2006" max="2006" width="13" style="1" customWidth="1"/>
    <col min="2007" max="2007" width="13.42578125" style="1" customWidth="1"/>
    <col min="2008" max="2008" width="11.28515625" style="1" customWidth="1"/>
    <col min="2009" max="2009" width="20.85546875" style="1" bestFit="1" customWidth="1"/>
    <col min="2010" max="2010" width="13.28515625" style="1" customWidth="1"/>
    <col min="2011" max="2011" width="19.7109375" style="1" customWidth="1"/>
    <col min="2012" max="2012" width="11.5703125" style="1" customWidth="1"/>
    <col min="2013" max="2013" width="23.28515625" style="1" customWidth="1"/>
    <col min="2014" max="2014" width="15.5703125" style="1" customWidth="1"/>
    <col min="2015" max="2257" width="9.140625" style="1"/>
    <col min="2258" max="2258" width="3.7109375" style="1" customWidth="1"/>
    <col min="2259" max="2259" width="12.85546875" style="1" customWidth="1"/>
    <col min="2260" max="2260" width="37.5703125" style="1" bestFit="1" customWidth="1"/>
    <col min="2261" max="2261" width="13.85546875" style="1" customWidth="1"/>
    <col min="2262" max="2262" width="13" style="1" customWidth="1"/>
    <col min="2263" max="2263" width="13.42578125" style="1" customWidth="1"/>
    <col min="2264" max="2264" width="11.28515625" style="1" customWidth="1"/>
    <col min="2265" max="2265" width="20.85546875" style="1" bestFit="1" customWidth="1"/>
    <col min="2266" max="2266" width="13.28515625" style="1" customWidth="1"/>
    <col min="2267" max="2267" width="19.7109375" style="1" customWidth="1"/>
    <col min="2268" max="2268" width="11.5703125" style="1" customWidth="1"/>
    <col min="2269" max="2269" width="23.28515625" style="1" customWidth="1"/>
    <col min="2270" max="2270" width="15.5703125" style="1" customWidth="1"/>
    <col min="2271" max="2513" width="9.140625" style="1"/>
    <col min="2514" max="2514" width="3.7109375" style="1" customWidth="1"/>
    <col min="2515" max="2515" width="12.85546875" style="1" customWidth="1"/>
    <col min="2516" max="2516" width="37.5703125" style="1" bestFit="1" customWidth="1"/>
    <col min="2517" max="2517" width="13.85546875" style="1" customWidth="1"/>
    <col min="2518" max="2518" width="13" style="1" customWidth="1"/>
    <col min="2519" max="2519" width="13.42578125" style="1" customWidth="1"/>
    <col min="2520" max="2520" width="11.28515625" style="1" customWidth="1"/>
    <col min="2521" max="2521" width="20.85546875" style="1" bestFit="1" customWidth="1"/>
    <col min="2522" max="2522" width="13.28515625" style="1" customWidth="1"/>
    <col min="2523" max="2523" width="19.7109375" style="1" customWidth="1"/>
    <col min="2524" max="2524" width="11.5703125" style="1" customWidth="1"/>
    <col min="2525" max="2525" width="23.28515625" style="1" customWidth="1"/>
    <col min="2526" max="2526" width="15.5703125" style="1" customWidth="1"/>
    <col min="2527" max="2769" width="9.140625" style="1"/>
    <col min="2770" max="2770" width="3.7109375" style="1" customWidth="1"/>
    <col min="2771" max="2771" width="12.85546875" style="1" customWidth="1"/>
    <col min="2772" max="2772" width="37.5703125" style="1" bestFit="1" customWidth="1"/>
    <col min="2773" max="2773" width="13.85546875" style="1" customWidth="1"/>
    <col min="2774" max="2774" width="13" style="1" customWidth="1"/>
    <col min="2775" max="2775" width="13.42578125" style="1" customWidth="1"/>
    <col min="2776" max="2776" width="11.28515625" style="1" customWidth="1"/>
    <col min="2777" max="2777" width="20.85546875" style="1" bestFit="1" customWidth="1"/>
    <col min="2778" max="2778" width="13.28515625" style="1" customWidth="1"/>
    <col min="2779" max="2779" width="19.7109375" style="1" customWidth="1"/>
    <col min="2780" max="2780" width="11.5703125" style="1" customWidth="1"/>
    <col min="2781" max="2781" width="23.28515625" style="1" customWidth="1"/>
    <col min="2782" max="2782" width="15.5703125" style="1" customWidth="1"/>
    <col min="2783" max="3025" width="9.140625" style="1"/>
    <col min="3026" max="3026" width="3.7109375" style="1" customWidth="1"/>
    <col min="3027" max="3027" width="12.85546875" style="1" customWidth="1"/>
    <col min="3028" max="3028" width="37.5703125" style="1" bestFit="1" customWidth="1"/>
    <col min="3029" max="3029" width="13.85546875" style="1" customWidth="1"/>
    <col min="3030" max="3030" width="13" style="1" customWidth="1"/>
    <col min="3031" max="3031" width="13.42578125" style="1" customWidth="1"/>
    <col min="3032" max="3032" width="11.28515625" style="1" customWidth="1"/>
    <col min="3033" max="3033" width="20.85546875" style="1" bestFit="1" customWidth="1"/>
    <col min="3034" max="3034" width="13.28515625" style="1" customWidth="1"/>
    <col min="3035" max="3035" width="19.7109375" style="1" customWidth="1"/>
    <col min="3036" max="3036" width="11.5703125" style="1" customWidth="1"/>
    <col min="3037" max="3037" width="23.28515625" style="1" customWidth="1"/>
    <col min="3038" max="3038" width="15.5703125" style="1" customWidth="1"/>
    <col min="3039" max="3281" width="9.140625" style="1"/>
    <col min="3282" max="3282" width="3.7109375" style="1" customWidth="1"/>
    <col min="3283" max="3283" width="12.85546875" style="1" customWidth="1"/>
    <col min="3284" max="3284" width="37.5703125" style="1" bestFit="1" customWidth="1"/>
    <col min="3285" max="3285" width="13.85546875" style="1" customWidth="1"/>
    <col min="3286" max="3286" width="13" style="1" customWidth="1"/>
    <col min="3287" max="3287" width="13.42578125" style="1" customWidth="1"/>
    <col min="3288" max="3288" width="11.28515625" style="1" customWidth="1"/>
    <col min="3289" max="3289" width="20.85546875" style="1" bestFit="1" customWidth="1"/>
    <col min="3290" max="3290" width="13.28515625" style="1" customWidth="1"/>
    <col min="3291" max="3291" width="19.7109375" style="1" customWidth="1"/>
    <col min="3292" max="3292" width="11.5703125" style="1" customWidth="1"/>
    <col min="3293" max="3293" width="23.28515625" style="1" customWidth="1"/>
    <col min="3294" max="3294" width="15.5703125" style="1" customWidth="1"/>
    <col min="3295" max="3537" width="9.140625" style="1"/>
    <col min="3538" max="3538" width="3.7109375" style="1" customWidth="1"/>
    <col min="3539" max="3539" width="12.85546875" style="1" customWidth="1"/>
    <col min="3540" max="3540" width="37.5703125" style="1" bestFit="1" customWidth="1"/>
    <col min="3541" max="3541" width="13.85546875" style="1" customWidth="1"/>
    <col min="3542" max="3542" width="13" style="1" customWidth="1"/>
    <col min="3543" max="3543" width="13.42578125" style="1" customWidth="1"/>
    <col min="3544" max="3544" width="11.28515625" style="1" customWidth="1"/>
    <col min="3545" max="3545" width="20.85546875" style="1" bestFit="1" customWidth="1"/>
    <col min="3546" max="3546" width="13.28515625" style="1" customWidth="1"/>
    <col min="3547" max="3547" width="19.7109375" style="1" customWidth="1"/>
    <col min="3548" max="3548" width="11.5703125" style="1" customWidth="1"/>
    <col min="3549" max="3549" width="23.28515625" style="1" customWidth="1"/>
    <col min="3550" max="3550" width="15.5703125" style="1" customWidth="1"/>
    <col min="3551" max="3793" width="9.140625" style="1"/>
    <col min="3794" max="3794" width="3.7109375" style="1" customWidth="1"/>
    <col min="3795" max="3795" width="12.85546875" style="1" customWidth="1"/>
    <col min="3796" max="3796" width="37.5703125" style="1" bestFit="1" customWidth="1"/>
    <col min="3797" max="3797" width="13.85546875" style="1" customWidth="1"/>
    <col min="3798" max="3798" width="13" style="1" customWidth="1"/>
    <col min="3799" max="3799" width="13.42578125" style="1" customWidth="1"/>
    <col min="3800" max="3800" width="11.28515625" style="1" customWidth="1"/>
    <col min="3801" max="3801" width="20.85546875" style="1" bestFit="1" customWidth="1"/>
    <col min="3802" max="3802" width="13.28515625" style="1" customWidth="1"/>
    <col min="3803" max="3803" width="19.7109375" style="1" customWidth="1"/>
    <col min="3804" max="3804" width="11.5703125" style="1" customWidth="1"/>
    <col min="3805" max="3805" width="23.28515625" style="1" customWidth="1"/>
    <col min="3806" max="3806" width="15.5703125" style="1" customWidth="1"/>
    <col min="3807" max="4049" width="9.140625" style="1"/>
    <col min="4050" max="4050" width="3.7109375" style="1" customWidth="1"/>
    <col min="4051" max="4051" width="12.85546875" style="1" customWidth="1"/>
    <col min="4052" max="4052" width="37.5703125" style="1" bestFit="1" customWidth="1"/>
    <col min="4053" max="4053" width="13.85546875" style="1" customWidth="1"/>
    <col min="4054" max="4054" width="13" style="1" customWidth="1"/>
    <col min="4055" max="4055" width="13.42578125" style="1" customWidth="1"/>
    <col min="4056" max="4056" width="11.28515625" style="1" customWidth="1"/>
    <col min="4057" max="4057" width="20.85546875" style="1" bestFit="1" customWidth="1"/>
    <col min="4058" max="4058" width="13.28515625" style="1" customWidth="1"/>
    <col min="4059" max="4059" width="19.7109375" style="1" customWidth="1"/>
    <col min="4060" max="4060" width="11.5703125" style="1" customWidth="1"/>
    <col min="4061" max="4061" width="23.28515625" style="1" customWidth="1"/>
    <col min="4062" max="4062" width="15.5703125" style="1" customWidth="1"/>
    <col min="4063" max="4305" width="9.140625" style="1"/>
    <col min="4306" max="4306" width="3.7109375" style="1" customWidth="1"/>
    <col min="4307" max="4307" width="12.85546875" style="1" customWidth="1"/>
    <col min="4308" max="4308" width="37.5703125" style="1" bestFit="1" customWidth="1"/>
    <col min="4309" max="4309" width="13.85546875" style="1" customWidth="1"/>
    <col min="4310" max="4310" width="13" style="1" customWidth="1"/>
    <col min="4311" max="4311" width="13.42578125" style="1" customWidth="1"/>
    <col min="4312" max="4312" width="11.28515625" style="1" customWidth="1"/>
    <col min="4313" max="4313" width="20.85546875" style="1" bestFit="1" customWidth="1"/>
    <col min="4314" max="4314" width="13.28515625" style="1" customWidth="1"/>
    <col min="4315" max="4315" width="19.7109375" style="1" customWidth="1"/>
    <col min="4316" max="4316" width="11.5703125" style="1" customWidth="1"/>
    <col min="4317" max="4317" width="23.28515625" style="1" customWidth="1"/>
    <col min="4318" max="4318" width="15.5703125" style="1" customWidth="1"/>
    <col min="4319" max="4561" width="9.140625" style="1"/>
    <col min="4562" max="4562" width="3.7109375" style="1" customWidth="1"/>
    <col min="4563" max="4563" width="12.85546875" style="1" customWidth="1"/>
    <col min="4564" max="4564" width="37.5703125" style="1" bestFit="1" customWidth="1"/>
    <col min="4565" max="4565" width="13.85546875" style="1" customWidth="1"/>
    <col min="4566" max="4566" width="13" style="1" customWidth="1"/>
    <col min="4567" max="4567" width="13.42578125" style="1" customWidth="1"/>
    <col min="4568" max="4568" width="11.28515625" style="1" customWidth="1"/>
    <col min="4569" max="4569" width="20.85546875" style="1" bestFit="1" customWidth="1"/>
    <col min="4570" max="4570" width="13.28515625" style="1" customWidth="1"/>
    <col min="4571" max="4571" width="19.7109375" style="1" customWidth="1"/>
    <col min="4572" max="4572" width="11.5703125" style="1" customWidth="1"/>
    <col min="4573" max="4573" width="23.28515625" style="1" customWidth="1"/>
    <col min="4574" max="4574" width="15.5703125" style="1" customWidth="1"/>
    <col min="4575" max="4817" width="9.140625" style="1"/>
    <col min="4818" max="4818" width="3.7109375" style="1" customWidth="1"/>
    <col min="4819" max="4819" width="12.85546875" style="1" customWidth="1"/>
    <col min="4820" max="4820" width="37.5703125" style="1" bestFit="1" customWidth="1"/>
    <col min="4821" max="4821" width="13.85546875" style="1" customWidth="1"/>
    <col min="4822" max="4822" width="13" style="1" customWidth="1"/>
    <col min="4823" max="4823" width="13.42578125" style="1" customWidth="1"/>
    <col min="4824" max="4824" width="11.28515625" style="1" customWidth="1"/>
    <col min="4825" max="4825" width="20.85546875" style="1" bestFit="1" customWidth="1"/>
    <col min="4826" max="4826" width="13.28515625" style="1" customWidth="1"/>
    <col min="4827" max="4827" width="19.7109375" style="1" customWidth="1"/>
    <col min="4828" max="4828" width="11.5703125" style="1" customWidth="1"/>
    <col min="4829" max="4829" width="23.28515625" style="1" customWidth="1"/>
    <col min="4830" max="4830" width="15.5703125" style="1" customWidth="1"/>
    <col min="4831" max="5073" width="9.140625" style="1"/>
    <col min="5074" max="5074" width="3.7109375" style="1" customWidth="1"/>
    <col min="5075" max="5075" width="12.85546875" style="1" customWidth="1"/>
    <col min="5076" max="5076" width="37.5703125" style="1" bestFit="1" customWidth="1"/>
    <col min="5077" max="5077" width="13.85546875" style="1" customWidth="1"/>
    <col min="5078" max="5078" width="13" style="1" customWidth="1"/>
    <col min="5079" max="5079" width="13.42578125" style="1" customWidth="1"/>
    <col min="5080" max="5080" width="11.28515625" style="1" customWidth="1"/>
    <col min="5081" max="5081" width="20.85546875" style="1" bestFit="1" customWidth="1"/>
    <col min="5082" max="5082" width="13.28515625" style="1" customWidth="1"/>
    <col min="5083" max="5083" width="19.7109375" style="1" customWidth="1"/>
    <col min="5084" max="5084" width="11.5703125" style="1" customWidth="1"/>
    <col min="5085" max="5085" width="23.28515625" style="1" customWidth="1"/>
    <col min="5086" max="5086" width="15.5703125" style="1" customWidth="1"/>
    <col min="5087" max="5329" width="9.140625" style="1"/>
    <col min="5330" max="5330" width="3.7109375" style="1" customWidth="1"/>
    <col min="5331" max="5331" width="12.85546875" style="1" customWidth="1"/>
    <col min="5332" max="5332" width="37.5703125" style="1" bestFit="1" customWidth="1"/>
    <col min="5333" max="5333" width="13.85546875" style="1" customWidth="1"/>
    <col min="5334" max="5334" width="13" style="1" customWidth="1"/>
    <col min="5335" max="5335" width="13.42578125" style="1" customWidth="1"/>
    <col min="5336" max="5336" width="11.28515625" style="1" customWidth="1"/>
    <col min="5337" max="5337" width="20.85546875" style="1" bestFit="1" customWidth="1"/>
    <col min="5338" max="5338" width="13.28515625" style="1" customWidth="1"/>
    <col min="5339" max="5339" width="19.7109375" style="1" customWidth="1"/>
    <col min="5340" max="5340" width="11.5703125" style="1" customWidth="1"/>
    <col min="5341" max="5341" width="23.28515625" style="1" customWidth="1"/>
    <col min="5342" max="5342" width="15.5703125" style="1" customWidth="1"/>
    <col min="5343" max="5585" width="9.140625" style="1"/>
    <col min="5586" max="5586" width="3.7109375" style="1" customWidth="1"/>
    <col min="5587" max="5587" width="12.85546875" style="1" customWidth="1"/>
    <col min="5588" max="5588" width="37.5703125" style="1" bestFit="1" customWidth="1"/>
    <col min="5589" max="5589" width="13.85546875" style="1" customWidth="1"/>
    <col min="5590" max="5590" width="13" style="1" customWidth="1"/>
    <col min="5591" max="5591" width="13.42578125" style="1" customWidth="1"/>
    <col min="5592" max="5592" width="11.28515625" style="1" customWidth="1"/>
    <col min="5593" max="5593" width="20.85546875" style="1" bestFit="1" customWidth="1"/>
    <col min="5594" max="5594" width="13.28515625" style="1" customWidth="1"/>
    <col min="5595" max="5595" width="19.7109375" style="1" customWidth="1"/>
    <col min="5596" max="5596" width="11.5703125" style="1" customWidth="1"/>
    <col min="5597" max="5597" width="23.28515625" style="1" customWidth="1"/>
    <col min="5598" max="5598" width="15.5703125" style="1" customWidth="1"/>
    <col min="5599" max="5841" width="9.140625" style="1"/>
    <col min="5842" max="5842" width="3.7109375" style="1" customWidth="1"/>
    <col min="5843" max="5843" width="12.85546875" style="1" customWidth="1"/>
    <col min="5844" max="5844" width="37.5703125" style="1" bestFit="1" customWidth="1"/>
    <col min="5845" max="5845" width="13.85546875" style="1" customWidth="1"/>
    <col min="5846" max="5846" width="13" style="1" customWidth="1"/>
    <col min="5847" max="5847" width="13.42578125" style="1" customWidth="1"/>
    <col min="5848" max="5848" width="11.28515625" style="1" customWidth="1"/>
    <col min="5849" max="5849" width="20.85546875" style="1" bestFit="1" customWidth="1"/>
    <col min="5850" max="5850" width="13.28515625" style="1" customWidth="1"/>
    <col min="5851" max="5851" width="19.7109375" style="1" customWidth="1"/>
    <col min="5852" max="5852" width="11.5703125" style="1" customWidth="1"/>
    <col min="5853" max="5853" width="23.28515625" style="1" customWidth="1"/>
    <col min="5854" max="5854" width="15.5703125" style="1" customWidth="1"/>
    <col min="5855" max="6097" width="9.140625" style="1"/>
    <col min="6098" max="6098" width="3.7109375" style="1" customWidth="1"/>
    <col min="6099" max="6099" width="12.85546875" style="1" customWidth="1"/>
    <col min="6100" max="6100" width="37.5703125" style="1" bestFit="1" customWidth="1"/>
    <col min="6101" max="6101" width="13.85546875" style="1" customWidth="1"/>
    <col min="6102" max="6102" width="13" style="1" customWidth="1"/>
    <col min="6103" max="6103" width="13.42578125" style="1" customWidth="1"/>
    <col min="6104" max="6104" width="11.28515625" style="1" customWidth="1"/>
    <col min="6105" max="6105" width="20.85546875" style="1" bestFit="1" customWidth="1"/>
    <col min="6106" max="6106" width="13.28515625" style="1" customWidth="1"/>
    <col min="6107" max="6107" width="19.7109375" style="1" customWidth="1"/>
    <col min="6108" max="6108" width="11.5703125" style="1" customWidth="1"/>
    <col min="6109" max="6109" width="23.28515625" style="1" customWidth="1"/>
    <col min="6110" max="6110" width="15.5703125" style="1" customWidth="1"/>
    <col min="6111" max="6353" width="9.140625" style="1"/>
    <col min="6354" max="6354" width="3.7109375" style="1" customWidth="1"/>
    <col min="6355" max="6355" width="12.85546875" style="1" customWidth="1"/>
    <col min="6356" max="6356" width="37.5703125" style="1" bestFit="1" customWidth="1"/>
    <col min="6357" max="6357" width="13.85546875" style="1" customWidth="1"/>
    <col min="6358" max="6358" width="13" style="1" customWidth="1"/>
    <col min="6359" max="6359" width="13.42578125" style="1" customWidth="1"/>
    <col min="6360" max="6360" width="11.28515625" style="1" customWidth="1"/>
    <col min="6361" max="6361" width="20.85546875" style="1" bestFit="1" customWidth="1"/>
    <col min="6362" max="6362" width="13.28515625" style="1" customWidth="1"/>
    <col min="6363" max="6363" width="19.7109375" style="1" customWidth="1"/>
    <col min="6364" max="6364" width="11.5703125" style="1" customWidth="1"/>
    <col min="6365" max="6365" width="23.28515625" style="1" customWidth="1"/>
    <col min="6366" max="6366" width="15.5703125" style="1" customWidth="1"/>
    <col min="6367" max="6609" width="9.140625" style="1"/>
    <col min="6610" max="6610" width="3.7109375" style="1" customWidth="1"/>
    <col min="6611" max="6611" width="12.85546875" style="1" customWidth="1"/>
    <col min="6612" max="6612" width="37.5703125" style="1" bestFit="1" customWidth="1"/>
    <col min="6613" max="6613" width="13.85546875" style="1" customWidth="1"/>
    <col min="6614" max="6614" width="13" style="1" customWidth="1"/>
    <col min="6615" max="6615" width="13.42578125" style="1" customWidth="1"/>
    <col min="6616" max="6616" width="11.28515625" style="1" customWidth="1"/>
    <col min="6617" max="6617" width="20.85546875" style="1" bestFit="1" customWidth="1"/>
    <col min="6618" max="6618" width="13.28515625" style="1" customWidth="1"/>
    <col min="6619" max="6619" width="19.7109375" style="1" customWidth="1"/>
    <col min="6620" max="6620" width="11.5703125" style="1" customWidth="1"/>
    <col min="6621" max="6621" width="23.28515625" style="1" customWidth="1"/>
    <col min="6622" max="6622" width="15.5703125" style="1" customWidth="1"/>
    <col min="6623" max="6865" width="9.140625" style="1"/>
    <col min="6866" max="6866" width="3.7109375" style="1" customWidth="1"/>
    <col min="6867" max="6867" width="12.85546875" style="1" customWidth="1"/>
    <col min="6868" max="6868" width="37.5703125" style="1" bestFit="1" customWidth="1"/>
    <col min="6869" max="6869" width="13.85546875" style="1" customWidth="1"/>
    <col min="6870" max="6870" width="13" style="1" customWidth="1"/>
    <col min="6871" max="6871" width="13.42578125" style="1" customWidth="1"/>
    <col min="6872" max="6872" width="11.28515625" style="1" customWidth="1"/>
    <col min="6873" max="6873" width="20.85546875" style="1" bestFit="1" customWidth="1"/>
    <col min="6874" max="6874" width="13.28515625" style="1" customWidth="1"/>
    <col min="6875" max="6875" width="19.7109375" style="1" customWidth="1"/>
    <col min="6876" max="6876" width="11.5703125" style="1" customWidth="1"/>
    <col min="6877" max="6877" width="23.28515625" style="1" customWidth="1"/>
    <col min="6878" max="6878" width="15.5703125" style="1" customWidth="1"/>
    <col min="6879" max="7121" width="9.140625" style="1"/>
    <col min="7122" max="7122" width="3.7109375" style="1" customWidth="1"/>
    <col min="7123" max="7123" width="12.85546875" style="1" customWidth="1"/>
    <col min="7124" max="7124" width="37.5703125" style="1" bestFit="1" customWidth="1"/>
    <col min="7125" max="7125" width="13.85546875" style="1" customWidth="1"/>
    <col min="7126" max="7126" width="13" style="1" customWidth="1"/>
    <col min="7127" max="7127" width="13.42578125" style="1" customWidth="1"/>
    <col min="7128" max="7128" width="11.28515625" style="1" customWidth="1"/>
    <col min="7129" max="7129" width="20.85546875" style="1" bestFit="1" customWidth="1"/>
    <col min="7130" max="7130" width="13.28515625" style="1" customWidth="1"/>
    <col min="7131" max="7131" width="19.7109375" style="1" customWidth="1"/>
    <col min="7132" max="7132" width="11.5703125" style="1" customWidth="1"/>
    <col min="7133" max="7133" width="23.28515625" style="1" customWidth="1"/>
    <col min="7134" max="7134" width="15.5703125" style="1" customWidth="1"/>
    <col min="7135" max="7377" width="9.140625" style="1"/>
    <col min="7378" max="7378" width="3.7109375" style="1" customWidth="1"/>
    <col min="7379" max="7379" width="12.85546875" style="1" customWidth="1"/>
    <col min="7380" max="7380" width="37.5703125" style="1" bestFit="1" customWidth="1"/>
    <col min="7381" max="7381" width="13.85546875" style="1" customWidth="1"/>
    <col min="7382" max="7382" width="13" style="1" customWidth="1"/>
    <col min="7383" max="7383" width="13.42578125" style="1" customWidth="1"/>
    <col min="7384" max="7384" width="11.28515625" style="1" customWidth="1"/>
    <col min="7385" max="7385" width="20.85546875" style="1" bestFit="1" customWidth="1"/>
    <col min="7386" max="7386" width="13.28515625" style="1" customWidth="1"/>
    <col min="7387" max="7387" width="19.7109375" style="1" customWidth="1"/>
    <col min="7388" max="7388" width="11.5703125" style="1" customWidth="1"/>
    <col min="7389" max="7389" width="23.28515625" style="1" customWidth="1"/>
    <col min="7390" max="7390" width="15.5703125" style="1" customWidth="1"/>
    <col min="7391" max="7633" width="9.140625" style="1"/>
    <col min="7634" max="7634" width="3.7109375" style="1" customWidth="1"/>
    <col min="7635" max="7635" width="12.85546875" style="1" customWidth="1"/>
    <col min="7636" max="7636" width="37.5703125" style="1" bestFit="1" customWidth="1"/>
    <col min="7637" max="7637" width="13.85546875" style="1" customWidth="1"/>
    <col min="7638" max="7638" width="13" style="1" customWidth="1"/>
    <col min="7639" max="7639" width="13.42578125" style="1" customWidth="1"/>
    <col min="7640" max="7640" width="11.28515625" style="1" customWidth="1"/>
    <col min="7641" max="7641" width="20.85546875" style="1" bestFit="1" customWidth="1"/>
    <col min="7642" max="7642" width="13.28515625" style="1" customWidth="1"/>
    <col min="7643" max="7643" width="19.7109375" style="1" customWidth="1"/>
    <col min="7644" max="7644" width="11.5703125" style="1" customWidth="1"/>
    <col min="7645" max="7645" width="23.28515625" style="1" customWidth="1"/>
    <col min="7646" max="7646" width="15.5703125" style="1" customWidth="1"/>
    <col min="7647" max="7889" width="9.140625" style="1"/>
    <col min="7890" max="7890" width="3.7109375" style="1" customWidth="1"/>
    <col min="7891" max="7891" width="12.85546875" style="1" customWidth="1"/>
    <col min="7892" max="7892" width="37.5703125" style="1" bestFit="1" customWidth="1"/>
    <col min="7893" max="7893" width="13.85546875" style="1" customWidth="1"/>
    <col min="7894" max="7894" width="13" style="1" customWidth="1"/>
    <col min="7895" max="7895" width="13.42578125" style="1" customWidth="1"/>
    <col min="7896" max="7896" width="11.28515625" style="1" customWidth="1"/>
    <col min="7897" max="7897" width="20.85546875" style="1" bestFit="1" customWidth="1"/>
    <col min="7898" max="7898" width="13.28515625" style="1" customWidth="1"/>
    <col min="7899" max="7899" width="19.7109375" style="1" customWidth="1"/>
    <col min="7900" max="7900" width="11.5703125" style="1" customWidth="1"/>
    <col min="7901" max="7901" width="23.28515625" style="1" customWidth="1"/>
    <col min="7902" max="7902" width="15.5703125" style="1" customWidth="1"/>
    <col min="7903" max="8145" width="9.140625" style="1"/>
    <col min="8146" max="8146" width="3.7109375" style="1" customWidth="1"/>
    <col min="8147" max="8147" width="12.85546875" style="1" customWidth="1"/>
    <col min="8148" max="8148" width="37.5703125" style="1" bestFit="1" customWidth="1"/>
    <col min="8149" max="8149" width="13.85546875" style="1" customWidth="1"/>
    <col min="8150" max="8150" width="13" style="1" customWidth="1"/>
    <col min="8151" max="8151" width="13.42578125" style="1" customWidth="1"/>
    <col min="8152" max="8152" width="11.28515625" style="1" customWidth="1"/>
    <col min="8153" max="8153" width="20.85546875" style="1" bestFit="1" customWidth="1"/>
    <col min="8154" max="8154" width="13.28515625" style="1" customWidth="1"/>
    <col min="8155" max="8155" width="19.7109375" style="1" customWidth="1"/>
    <col min="8156" max="8156" width="11.5703125" style="1" customWidth="1"/>
    <col min="8157" max="8157" width="23.28515625" style="1" customWidth="1"/>
    <col min="8158" max="8158" width="15.5703125" style="1" customWidth="1"/>
    <col min="8159" max="8401" width="9.140625" style="1"/>
    <col min="8402" max="8402" width="3.7109375" style="1" customWidth="1"/>
    <col min="8403" max="8403" width="12.85546875" style="1" customWidth="1"/>
    <col min="8404" max="8404" width="37.5703125" style="1" bestFit="1" customWidth="1"/>
    <col min="8405" max="8405" width="13.85546875" style="1" customWidth="1"/>
    <col min="8406" max="8406" width="13" style="1" customWidth="1"/>
    <col min="8407" max="8407" width="13.42578125" style="1" customWidth="1"/>
    <col min="8408" max="8408" width="11.28515625" style="1" customWidth="1"/>
    <col min="8409" max="8409" width="20.85546875" style="1" bestFit="1" customWidth="1"/>
    <col min="8410" max="8410" width="13.28515625" style="1" customWidth="1"/>
    <col min="8411" max="8411" width="19.7109375" style="1" customWidth="1"/>
    <col min="8412" max="8412" width="11.5703125" style="1" customWidth="1"/>
    <col min="8413" max="8413" width="23.28515625" style="1" customWidth="1"/>
    <col min="8414" max="8414" width="15.5703125" style="1" customWidth="1"/>
    <col min="8415" max="8657" width="9.140625" style="1"/>
    <col min="8658" max="8658" width="3.7109375" style="1" customWidth="1"/>
    <col min="8659" max="8659" width="12.85546875" style="1" customWidth="1"/>
    <col min="8660" max="8660" width="37.5703125" style="1" bestFit="1" customWidth="1"/>
    <col min="8661" max="8661" width="13.85546875" style="1" customWidth="1"/>
    <col min="8662" max="8662" width="13" style="1" customWidth="1"/>
    <col min="8663" max="8663" width="13.42578125" style="1" customWidth="1"/>
    <col min="8664" max="8664" width="11.28515625" style="1" customWidth="1"/>
    <col min="8665" max="8665" width="20.85546875" style="1" bestFit="1" customWidth="1"/>
    <col min="8666" max="8666" width="13.28515625" style="1" customWidth="1"/>
    <col min="8667" max="8667" width="19.7109375" style="1" customWidth="1"/>
    <col min="8668" max="8668" width="11.5703125" style="1" customWidth="1"/>
    <col min="8669" max="8669" width="23.28515625" style="1" customWidth="1"/>
    <col min="8670" max="8670" width="15.5703125" style="1" customWidth="1"/>
    <col min="8671" max="8913" width="9.140625" style="1"/>
    <col min="8914" max="8914" width="3.7109375" style="1" customWidth="1"/>
    <col min="8915" max="8915" width="12.85546875" style="1" customWidth="1"/>
    <col min="8916" max="8916" width="37.5703125" style="1" bestFit="1" customWidth="1"/>
    <col min="8917" max="8917" width="13.85546875" style="1" customWidth="1"/>
    <col min="8918" max="8918" width="13" style="1" customWidth="1"/>
    <col min="8919" max="8919" width="13.42578125" style="1" customWidth="1"/>
    <col min="8920" max="8920" width="11.28515625" style="1" customWidth="1"/>
    <col min="8921" max="8921" width="20.85546875" style="1" bestFit="1" customWidth="1"/>
    <col min="8922" max="8922" width="13.28515625" style="1" customWidth="1"/>
    <col min="8923" max="8923" width="19.7109375" style="1" customWidth="1"/>
    <col min="8924" max="8924" width="11.5703125" style="1" customWidth="1"/>
    <col min="8925" max="8925" width="23.28515625" style="1" customWidth="1"/>
    <col min="8926" max="8926" width="15.5703125" style="1" customWidth="1"/>
    <col min="8927" max="9169" width="9.140625" style="1"/>
    <col min="9170" max="9170" width="3.7109375" style="1" customWidth="1"/>
    <col min="9171" max="9171" width="12.85546875" style="1" customWidth="1"/>
    <col min="9172" max="9172" width="37.5703125" style="1" bestFit="1" customWidth="1"/>
    <col min="9173" max="9173" width="13.85546875" style="1" customWidth="1"/>
    <col min="9174" max="9174" width="13" style="1" customWidth="1"/>
    <col min="9175" max="9175" width="13.42578125" style="1" customWidth="1"/>
    <col min="9176" max="9176" width="11.28515625" style="1" customWidth="1"/>
    <col min="9177" max="9177" width="20.85546875" style="1" bestFit="1" customWidth="1"/>
    <col min="9178" max="9178" width="13.28515625" style="1" customWidth="1"/>
    <col min="9179" max="9179" width="19.7109375" style="1" customWidth="1"/>
    <col min="9180" max="9180" width="11.5703125" style="1" customWidth="1"/>
    <col min="9181" max="9181" width="23.28515625" style="1" customWidth="1"/>
    <col min="9182" max="9182" width="15.5703125" style="1" customWidth="1"/>
    <col min="9183" max="9425" width="9.140625" style="1"/>
    <col min="9426" max="9426" width="3.7109375" style="1" customWidth="1"/>
    <col min="9427" max="9427" width="12.85546875" style="1" customWidth="1"/>
    <col min="9428" max="9428" width="37.5703125" style="1" bestFit="1" customWidth="1"/>
    <col min="9429" max="9429" width="13.85546875" style="1" customWidth="1"/>
    <col min="9430" max="9430" width="13" style="1" customWidth="1"/>
    <col min="9431" max="9431" width="13.42578125" style="1" customWidth="1"/>
    <col min="9432" max="9432" width="11.28515625" style="1" customWidth="1"/>
    <col min="9433" max="9433" width="20.85546875" style="1" bestFit="1" customWidth="1"/>
    <col min="9434" max="9434" width="13.28515625" style="1" customWidth="1"/>
    <col min="9435" max="9435" width="19.7109375" style="1" customWidth="1"/>
    <col min="9436" max="9436" width="11.5703125" style="1" customWidth="1"/>
    <col min="9437" max="9437" width="23.28515625" style="1" customWidth="1"/>
    <col min="9438" max="9438" width="15.5703125" style="1" customWidth="1"/>
    <col min="9439" max="9681" width="9.140625" style="1"/>
    <col min="9682" max="9682" width="3.7109375" style="1" customWidth="1"/>
    <col min="9683" max="9683" width="12.85546875" style="1" customWidth="1"/>
    <col min="9684" max="9684" width="37.5703125" style="1" bestFit="1" customWidth="1"/>
    <col min="9685" max="9685" width="13.85546875" style="1" customWidth="1"/>
    <col min="9686" max="9686" width="13" style="1" customWidth="1"/>
    <col min="9687" max="9687" width="13.42578125" style="1" customWidth="1"/>
    <col min="9688" max="9688" width="11.28515625" style="1" customWidth="1"/>
    <col min="9689" max="9689" width="20.85546875" style="1" bestFit="1" customWidth="1"/>
    <col min="9690" max="9690" width="13.28515625" style="1" customWidth="1"/>
    <col min="9691" max="9691" width="19.7109375" style="1" customWidth="1"/>
    <col min="9692" max="9692" width="11.5703125" style="1" customWidth="1"/>
    <col min="9693" max="9693" width="23.28515625" style="1" customWidth="1"/>
    <col min="9694" max="9694" width="15.5703125" style="1" customWidth="1"/>
    <col min="9695" max="9937" width="9.140625" style="1"/>
    <col min="9938" max="9938" width="3.7109375" style="1" customWidth="1"/>
    <col min="9939" max="9939" width="12.85546875" style="1" customWidth="1"/>
    <col min="9940" max="9940" width="37.5703125" style="1" bestFit="1" customWidth="1"/>
    <col min="9941" max="9941" width="13.85546875" style="1" customWidth="1"/>
    <col min="9942" max="9942" width="13" style="1" customWidth="1"/>
    <col min="9943" max="9943" width="13.42578125" style="1" customWidth="1"/>
    <col min="9944" max="9944" width="11.28515625" style="1" customWidth="1"/>
    <col min="9945" max="9945" width="20.85546875" style="1" bestFit="1" customWidth="1"/>
    <col min="9946" max="9946" width="13.28515625" style="1" customWidth="1"/>
    <col min="9947" max="9947" width="19.7109375" style="1" customWidth="1"/>
    <col min="9948" max="9948" width="11.5703125" style="1" customWidth="1"/>
    <col min="9949" max="9949" width="23.28515625" style="1" customWidth="1"/>
    <col min="9950" max="9950" width="15.5703125" style="1" customWidth="1"/>
    <col min="9951" max="10193" width="9.140625" style="1"/>
    <col min="10194" max="10194" width="3.7109375" style="1" customWidth="1"/>
    <col min="10195" max="10195" width="12.85546875" style="1" customWidth="1"/>
    <col min="10196" max="10196" width="37.5703125" style="1" bestFit="1" customWidth="1"/>
    <col min="10197" max="10197" width="13.85546875" style="1" customWidth="1"/>
    <col min="10198" max="10198" width="13" style="1" customWidth="1"/>
    <col min="10199" max="10199" width="13.42578125" style="1" customWidth="1"/>
    <col min="10200" max="10200" width="11.28515625" style="1" customWidth="1"/>
    <col min="10201" max="10201" width="20.85546875" style="1" bestFit="1" customWidth="1"/>
    <col min="10202" max="10202" width="13.28515625" style="1" customWidth="1"/>
    <col min="10203" max="10203" width="19.7109375" style="1" customWidth="1"/>
    <col min="10204" max="10204" width="11.5703125" style="1" customWidth="1"/>
    <col min="10205" max="10205" width="23.28515625" style="1" customWidth="1"/>
    <col min="10206" max="10206" width="15.5703125" style="1" customWidth="1"/>
    <col min="10207" max="10449" width="9.140625" style="1"/>
    <col min="10450" max="10450" width="3.7109375" style="1" customWidth="1"/>
    <col min="10451" max="10451" width="12.85546875" style="1" customWidth="1"/>
    <col min="10452" max="10452" width="37.5703125" style="1" bestFit="1" customWidth="1"/>
    <col min="10453" max="10453" width="13.85546875" style="1" customWidth="1"/>
    <col min="10454" max="10454" width="13" style="1" customWidth="1"/>
    <col min="10455" max="10455" width="13.42578125" style="1" customWidth="1"/>
    <col min="10456" max="10456" width="11.28515625" style="1" customWidth="1"/>
    <col min="10457" max="10457" width="20.85546875" style="1" bestFit="1" customWidth="1"/>
    <col min="10458" max="10458" width="13.28515625" style="1" customWidth="1"/>
    <col min="10459" max="10459" width="19.7109375" style="1" customWidth="1"/>
    <col min="10460" max="10460" width="11.5703125" style="1" customWidth="1"/>
    <col min="10461" max="10461" width="23.28515625" style="1" customWidth="1"/>
    <col min="10462" max="10462" width="15.5703125" style="1" customWidth="1"/>
    <col min="10463" max="10705" width="9.140625" style="1"/>
    <col min="10706" max="10706" width="3.7109375" style="1" customWidth="1"/>
    <col min="10707" max="10707" width="12.85546875" style="1" customWidth="1"/>
    <col min="10708" max="10708" width="37.5703125" style="1" bestFit="1" customWidth="1"/>
    <col min="10709" max="10709" width="13.85546875" style="1" customWidth="1"/>
    <col min="10710" max="10710" width="13" style="1" customWidth="1"/>
    <col min="10711" max="10711" width="13.42578125" style="1" customWidth="1"/>
    <col min="10712" max="10712" width="11.28515625" style="1" customWidth="1"/>
    <col min="10713" max="10713" width="20.85546875" style="1" bestFit="1" customWidth="1"/>
    <col min="10714" max="10714" width="13.28515625" style="1" customWidth="1"/>
    <col min="10715" max="10715" width="19.7109375" style="1" customWidth="1"/>
    <col min="10716" max="10716" width="11.5703125" style="1" customWidth="1"/>
    <col min="10717" max="10717" width="23.28515625" style="1" customWidth="1"/>
    <col min="10718" max="10718" width="15.5703125" style="1" customWidth="1"/>
    <col min="10719" max="10961" width="9.140625" style="1"/>
    <col min="10962" max="10962" width="3.7109375" style="1" customWidth="1"/>
    <col min="10963" max="10963" width="12.85546875" style="1" customWidth="1"/>
    <col min="10964" max="10964" width="37.5703125" style="1" bestFit="1" customWidth="1"/>
    <col min="10965" max="10965" width="13.85546875" style="1" customWidth="1"/>
    <col min="10966" max="10966" width="13" style="1" customWidth="1"/>
    <col min="10967" max="10967" width="13.42578125" style="1" customWidth="1"/>
    <col min="10968" max="10968" width="11.28515625" style="1" customWidth="1"/>
    <col min="10969" max="10969" width="20.85546875" style="1" bestFit="1" customWidth="1"/>
    <col min="10970" max="10970" width="13.28515625" style="1" customWidth="1"/>
    <col min="10971" max="10971" width="19.7109375" style="1" customWidth="1"/>
    <col min="10972" max="10972" width="11.5703125" style="1" customWidth="1"/>
    <col min="10973" max="10973" width="23.28515625" style="1" customWidth="1"/>
    <col min="10974" max="10974" width="15.5703125" style="1" customWidth="1"/>
    <col min="10975" max="11217" width="9.140625" style="1"/>
    <col min="11218" max="11218" width="3.7109375" style="1" customWidth="1"/>
    <col min="11219" max="11219" width="12.85546875" style="1" customWidth="1"/>
    <col min="11220" max="11220" width="37.5703125" style="1" bestFit="1" customWidth="1"/>
    <col min="11221" max="11221" width="13.85546875" style="1" customWidth="1"/>
    <col min="11222" max="11222" width="13" style="1" customWidth="1"/>
    <col min="11223" max="11223" width="13.42578125" style="1" customWidth="1"/>
    <col min="11224" max="11224" width="11.28515625" style="1" customWidth="1"/>
    <col min="11225" max="11225" width="20.85546875" style="1" bestFit="1" customWidth="1"/>
    <col min="11226" max="11226" width="13.28515625" style="1" customWidth="1"/>
    <col min="11227" max="11227" width="19.7109375" style="1" customWidth="1"/>
    <col min="11228" max="11228" width="11.5703125" style="1" customWidth="1"/>
    <col min="11229" max="11229" width="23.28515625" style="1" customWidth="1"/>
    <col min="11230" max="11230" width="15.5703125" style="1" customWidth="1"/>
    <col min="11231" max="11473" width="9.140625" style="1"/>
    <col min="11474" max="11474" width="3.7109375" style="1" customWidth="1"/>
    <col min="11475" max="11475" width="12.85546875" style="1" customWidth="1"/>
    <col min="11476" max="11476" width="37.5703125" style="1" bestFit="1" customWidth="1"/>
    <col min="11477" max="11477" width="13.85546875" style="1" customWidth="1"/>
    <col min="11478" max="11478" width="13" style="1" customWidth="1"/>
    <col min="11479" max="11479" width="13.42578125" style="1" customWidth="1"/>
    <col min="11480" max="11480" width="11.28515625" style="1" customWidth="1"/>
    <col min="11481" max="11481" width="20.85546875" style="1" bestFit="1" customWidth="1"/>
    <col min="11482" max="11482" width="13.28515625" style="1" customWidth="1"/>
    <col min="11483" max="11483" width="19.7109375" style="1" customWidth="1"/>
    <col min="11484" max="11484" width="11.5703125" style="1" customWidth="1"/>
    <col min="11485" max="11485" width="23.28515625" style="1" customWidth="1"/>
    <col min="11486" max="11486" width="15.5703125" style="1" customWidth="1"/>
    <col min="11487" max="11729" width="9.140625" style="1"/>
    <col min="11730" max="11730" width="3.7109375" style="1" customWidth="1"/>
    <col min="11731" max="11731" width="12.85546875" style="1" customWidth="1"/>
    <col min="11732" max="11732" width="37.5703125" style="1" bestFit="1" customWidth="1"/>
    <col min="11733" max="11733" width="13.85546875" style="1" customWidth="1"/>
    <col min="11734" max="11734" width="13" style="1" customWidth="1"/>
    <col min="11735" max="11735" width="13.42578125" style="1" customWidth="1"/>
    <col min="11736" max="11736" width="11.28515625" style="1" customWidth="1"/>
    <col min="11737" max="11737" width="20.85546875" style="1" bestFit="1" customWidth="1"/>
    <col min="11738" max="11738" width="13.28515625" style="1" customWidth="1"/>
    <col min="11739" max="11739" width="19.7109375" style="1" customWidth="1"/>
    <col min="11740" max="11740" width="11.5703125" style="1" customWidth="1"/>
    <col min="11741" max="11741" width="23.28515625" style="1" customWidth="1"/>
    <col min="11742" max="11742" width="15.5703125" style="1" customWidth="1"/>
    <col min="11743" max="11985" width="9.140625" style="1"/>
    <col min="11986" max="11986" width="3.7109375" style="1" customWidth="1"/>
    <col min="11987" max="11987" width="12.85546875" style="1" customWidth="1"/>
    <col min="11988" max="11988" width="37.5703125" style="1" bestFit="1" customWidth="1"/>
    <col min="11989" max="11989" width="13.85546875" style="1" customWidth="1"/>
    <col min="11990" max="11990" width="13" style="1" customWidth="1"/>
    <col min="11991" max="11991" width="13.42578125" style="1" customWidth="1"/>
    <col min="11992" max="11992" width="11.28515625" style="1" customWidth="1"/>
    <col min="11993" max="11993" width="20.85546875" style="1" bestFit="1" customWidth="1"/>
    <col min="11994" max="11994" width="13.28515625" style="1" customWidth="1"/>
    <col min="11995" max="11995" width="19.7109375" style="1" customWidth="1"/>
    <col min="11996" max="11996" width="11.5703125" style="1" customWidth="1"/>
    <col min="11997" max="11997" width="23.28515625" style="1" customWidth="1"/>
    <col min="11998" max="11998" width="15.5703125" style="1" customWidth="1"/>
    <col min="11999" max="12241" width="9.140625" style="1"/>
    <col min="12242" max="12242" width="3.7109375" style="1" customWidth="1"/>
    <col min="12243" max="12243" width="12.85546875" style="1" customWidth="1"/>
    <col min="12244" max="12244" width="37.5703125" style="1" bestFit="1" customWidth="1"/>
    <col min="12245" max="12245" width="13.85546875" style="1" customWidth="1"/>
    <col min="12246" max="12246" width="13" style="1" customWidth="1"/>
    <col min="12247" max="12247" width="13.42578125" style="1" customWidth="1"/>
    <col min="12248" max="12248" width="11.28515625" style="1" customWidth="1"/>
    <col min="12249" max="12249" width="20.85546875" style="1" bestFit="1" customWidth="1"/>
    <col min="12250" max="12250" width="13.28515625" style="1" customWidth="1"/>
    <col min="12251" max="12251" width="19.7109375" style="1" customWidth="1"/>
    <col min="12252" max="12252" width="11.5703125" style="1" customWidth="1"/>
    <col min="12253" max="12253" width="23.28515625" style="1" customWidth="1"/>
    <col min="12254" max="12254" width="15.5703125" style="1" customWidth="1"/>
    <col min="12255" max="12497" width="9.140625" style="1"/>
    <col min="12498" max="12498" width="3.7109375" style="1" customWidth="1"/>
    <col min="12499" max="12499" width="12.85546875" style="1" customWidth="1"/>
    <col min="12500" max="12500" width="37.5703125" style="1" bestFit="1" customWidth="1"/>
    <col min="12501" max="12501" width="13.85546875" style="1" customWidth="1"/>
    <col min="12502" max="12502" width="13" style="1" customWidth="1"/>
    <col min="12503" max="12503" width="13.42578125" style="1" customWidth="1"/>
    <col min="12504" max="12504" width="11.28515625" style="1" customWidth="1"/>
    <col min="12505" max="12505" width="20.85546875" style="1" bestFit="1" customWidth="1"/>
    <col min="12506" max="12506" width="13.28515625" style="1" customWidth="1"/>
    <col min="12507" max="12507" width="19.7109375" style="1" customWidth="1"/>
    <col min="12508" max="12508" width="11.5703125" style="1" customWidth="1"/>
    <col min="12509" max="12509" width="23.28515625" style="1" customWidth="1"/>
    <col min="12510" max="12510" width="15.5703125" style="1" customWidth="1"/>
    <col min="12511" max="12753" width="9.140625" style="1"/>
    <col min="12754" max="12754" width="3.7109375" style="1" customWidth="1"/>
    <col min="12755" max="12755" width="12.85546875" style="1" customWidth="1"/>
    <col min="12756" max="12756" width="37.5703125" style="1" bestFit="1" customWidth="1"/>
    <col min="12757" max="12757" width="13.85546875" style="1" customWidth="1"/>
    <col min="12758" max="12758" width="13" style="1" customWidth="1"/>
    <col min="12759" max="12759" width="13.42578125" style="1" customWidth="1"/>
    <col min="12760" max="12760" width="11.28515625" style="1" customWidth="1"/>
    <col min="12761" max="12761" width="20.85546875" style="1" bestFit="1" customWidth="1"/>
    <col min="12762" max="12762" width="13.28515625" style="1" customWidth="1"/>
    <col min="12763" max="12763" width="19.7109375" style="1" customWidth="1"/>
    <col min="12764" max="12764" width="11.5703125" style="1" customWidth="1"/>
    <col min="12765" max="12765" width="23.28515625" style="1" customWidth="1"/>
    <col min="12766" max="12766" width="15.5703125" style="1" customWidth="1"/>
    <col min="12767" max="13009" width="9.140625" style="1"/>
    <col min="13010" max="13010" width="3.7109375" style="1" customWidth="1"/>
    <col min="13011" max="13011" width="12.85546875" style="1" customWidth="1"/>
    <col min="13012" max="13012" width="37.5703125" style="1" bestFit="1" customWidth="1"/>
    <col min="13013" max="13013" width="13.85546875" style="1" customWidth="1"/>
    <col min="13014" max="13014" width="13" style="1" customWidth="1"/>
    <col min="13015" max="13015" width="13.42578125" style="1" customWidth="1"/>
    <col min="13016" max="13016" width="11.28515625" style="1" customWidth="1"/>
    <col min="13017" max="13017" width="20.85546875" style="1" bestFit="1" customWidth="1"/>
    <col min="13018" max="13018" width="13.28515625" style="1" customWidth="1"/>
    <col min="13019" max="13019" width="19.7109375" style="1" customWidth="1"/>
    <col min="13020" max="13020" width="11.5703125" style="1" customWidth="1"/>
    <col min="13021" max="13021" width="23.28515625" style="1" customWidth="1"/>
    <col min="13022" max="13022" width="15.5703125" style="1" customWidth="1"/>
    <col min="13023" max="13265" width="9.140625" style="1"/>
    <col min="13266" max="13266" width="3.7109375" style="1" customWidth="1"/>
    <col min="13267" max="13267" width="12.85546875" style="1" customWidth="1"/>
    <col min="13268" max="13268" width="37.5703125" style="1" bestFit="1" customWidth="1"/>
    <col min="13269" max="13269" width="13.85546875" style="1" customWidth="1"/>
    <col min="13270" max="13270" width="13" style="1" customWidth="1"/>
    <col min="13271" max="13271" width="13.42578125" style="1" customWidth="1"/>
    <col min="13272" max="13272" width="11.28515625" style="1" customWidth="1"/>
    <col min="13273" max="13273" width="20.85546875" style="1" bestFit="1" customWidth="1"/>
    <col min="13274" max="13274" width="13.28515625" style="1" customWidth="1"/>
    <col min="13275" max="13275" width="19.7109375" style="1" customWidth="1"/>
    <col min="13276" max="13276" width="11.5703125" style="1" customWidth="1"/>
    <col min="13277" max="13277" width="23.28515625" style="1" customWidth="1"/>
    <col min="13278" max="13278" width="15.5703125" style="1" customWidth="1"/>
    <col min="13279" max="13521" width="9.140625" style="1"/>
    <col min="13522" max="13522" width="3.7109375" style="1" customWidth="1"/>
    <col min="13523" max="13523" width="12.85546875" style="1" customWidth="1"/>
    <col min="13524" max="13524" width="37.5703125" style="1" bestFit="1" customWidth="1"/>
    <col min="13525" max="13525" width="13.85546875" style="1" customWidth="1"/>
    <col min="13526" max="13526" width="13" style="1" customWidth="1"/>
    <col min="13527" max="13527" width="13.42578125" style="1" customWidth="1"/>
    <col min="13528" max="13528" width="11.28515625" style="1" customWidth="1"/>
    <col min="13529" max="13529" width="20.85546875" style="1" bestFit="1" customWidth="1"/>
    <col min="13530" max="13530" width="13.28515625" style="1" customWidth="1"/>
    <col min="13531" max="13531" width="19.7109375" style="1" customWidth="1"/>
    <col min="13532" max="13532" width="11.5703125" style="1" customWidth="1"/>
    <col min="13533" max="13533" width="23.28515625" style="1" customWidth="1"/>
    <col min="13534" max="13534" width="15.5703125" style="1" customWidth="1"/>
    <col min="13535" max="13777" width="9.140625" style="1"/>
    <col min="13778" max="13778" width="3.7109375" style="1" customWidth="1"/>
    <col min="13779" max="13779" width="12.85546875" style="1" customWidth="1"/>
    <col min="13780" max="13780" width="37.5703125" style="1" bestFit="1" customWidth="1"/>
    <col min="13781" max="13781" width="13.85546875" style="1" customWidth="1"/>
    <col min="13782" max="13782" width="13" style="1" customWidth="1"/>
    <col min="13783" max="13783" width="13.42578125" style="1" customWidth="1"/>
    <col min="13784" max="13784" width="11.28515625" style="1" customWidth="1"/>
    <col min="13785" max="13785" width="20.85546875" style="1" bestFit="1" customWidth="1"/>
    <col min="13786" max="13786" width="13.28515625" style="1" customWidth="1"/>
    <col min="13787" max="13787" width="19.7109375" style="1" customWidth="1"/>
    <col min="13788" max="13788" width="11.5703125" style="1" customWidth="1"/>
    <col min="13789" max="13789" width="23.28515625" style="1" customWidth="1"/>
    <col min="13790" max="13790" width="15.5703125" style="1" customWidth="1"/>
    <col min="13791" max="14033" width="9.140625" style="1"/>
    <col min="14034" max="14034" width="3.7109375" style="1" customWidth="1"/>
    <col min="14035" max="14035" width="12.85546875" style="1" customWidth="1"/>
    <col min="14036" max="14036" width="37.5703125" style="1" bestFit="1" customWidth="1"/>
    <col min="14037" max="14037" width="13.85546875" style="1" customWidth="1"/>
    <col min="14038" max="14038" width="13" style="1" customWidth="1"/>
    <col min="14039" max="14039" width="13.42578125" style="1" customWidth="1"/>
    <col min="14040" max="14040" width="11.28515625" style="1" customWidth="1"/>
    <col min="14041" max="14041" width="20.85546875" style="1" bestFit="1" customWidth="1"/>
    <col min="14042" max="14042" width="13.28515625" style="1" customWidth="1"/>
    <col min="14043" max="14043" width="19.7109375" style="1" customWidth="1"/>
    <col min="14044" max="14044" width="11.5703125" style="1" customWidth="1"/>
    <col min="14045" max="14045" width="23.28515625" style="1" customWidth="1"/>
    <col min="14046" max="14046" width="15.5703125" style="1" customWidth="1"/>
    <col min="14047" max="14289" width="9.140625" style="1"/>
    <col min="14290" max="14290" width="3.7109375" style="1" customWidth="1"/>
    <col min="14291" max="14291" width="12.85546875" style="1" customWidth="1"/>
    <col min="14292" max="14292" width="37.5703125" style="1" bestFit="1" customWidth="1"/>
    <col min="14293" max="14293" width="13.85546875" style="1" customWidth="1"/>
    <col min="14294" max="14294" width="13" style="1" customWidth="1"/>
    <col min="14295" max="14295" width="13.42578125" style="1" customWidth="1"/>
    <col min="14296" max="14296" width="11.28515625" style="1" customWidth="1"/>
    <col min="14297" max="14297" width="20.85546875" style="1" bestFit="1" customWidth="1"/>
    <col min="14298" max="14298" width="13.28515625" style="1" customWidth="1"/>
    <col min="14299" max="14299" width="19.7109375" style="1" customWidth="1"/>
    <col min="14300" max="14300" width="11.5703125" style="1" customWidth="1"/>
    <col min="14301" max="14301" width="23.28515625" style="1" customWidth="1"/>
    <col min="14302" max="14302" width="15.5703125" style="1" customWidth="1"/>
    <col min="14303" max="14545" width="9.140625" style="1"/>
    <col min="14546" max="14546" width="3.7109375" style="1" customWidth="1"/>
    <col min="14547" max="14547" width="12.85546875" style="1" customWidth="1"/>
    <col min="14548" max="14548" width="37.5703125" style="1" bestFit="1" customWidth="1"/>
    <col min="14549" max="14549" width="13.85546875" style="1" customWidth="1"/>
    <col min="14550" max="14550" width="13" style="1" customWidth="1"/>
    <col min="14551" max="14551" width="13.42578125" style="1" customWidth="1"/>
    <col min="14552" max="14552" width="11.28515625" style="1" customWidth="1"/>
    <col min="14553" max="14553" width="20.85546875" style="1" bestFit="1" customWidth="1"/>
    <col min="14554" max="14554" width="13.28515625" style="1" customWidth="1"/>
    <col min="14555" max="14555" width="19.7109375" style="1" customWidth="1"/>
    <col min="14556" max="14556" width="11.5703125" style="1" customWidth="1"/>
    <col min="14557" max="14557" width="23.28515625" style="1" customWidth="1"/>
    <col min="14558" max="14558" width="15.5703125" style="1" customWidth="1"/>
    <col min="14559" max="14801" width="9.140625" style="1"/>
    <col min="14802" max="14802" width="3.7109375" style="1" customWidth="1"/>
    <col min="14803" max="14803" width="12.85546875" style="1" customWidth="1"/>
    <col min="14804" max="14804" width="37.5703125" style="1" bestFit="1" customWidth="1"/>
    <col min="14805" max="14805" width="13.85546875" style="1" customWidth="1"/>
    <col min="14806" max="14806" width="13" style="1" customWidth="1"/>
    <col min="14807" max="14807" width="13.42578125" style="1" customWidth="1"/>
    <col min="14808" max="14808" width="11.28515625" style="1" customWidth="1"/>
    <col min="14809" max="14809" width="20.85546875" style="1" bestFit="1" customWidth="1"/>
    <col min="14810" max="14810" width="13.28515625" style="1" customWidth="1"/>
    <col min="14811" max="14811" width="19.7109375" style="1" customWidth="1"/>
    <col min="14812" max="14812" width="11.5703125" style="1" customWidth="1"/>
    <col min="14813" max="14813" width="23.28515625" style="1" customWidth="1"/>
    <col min="14814" max="14814" width="15.5703125" style="1" customWidth="1"/>
    <col min="14815" max="15057" width="9.140625" style="1"/>
    <col min="15058" max="15058" width="3.7109375" style="1" customWidth="1"/>
    <col min="15059" max="15059" width="12.85546875" style="1" customWidth="1"/>
    <col min="15060" max="15060" width="37.5703125" style="1" bestFit="1" customWidth="1"/>
    <col min="15061" max="15061" width="13.85546875" style="1" customWidth="1"/>
    <col min="15062" max="15062" width="13" style="1" customWidth="1"/>
    <col min="15063" max="15063" width="13.42578125" style="1" customWidth="1"/>
    <col min="15064" max="15064" width="11.28515625" style="1" customWidth="1"/>
    <col min="15065" max="15065" width="20.85546875" style="1" bestFit="1" customWidth="1"/>
    <col min="15066" max="15066" width="13.28515625" style="1" customWidth="1"/>
    <col min="15067" max="15067" width="19.7109375" style="1" customWidth="1"/>
    <col min="15068" max="15068" width="11.5703125" style="1" customWidth="1"/>
    <col min="15069" max="15069" width="23.28515625" style="1" customWidth="1"/>
    <col min="15070" max="15070" width="15.5703125" style="1" customWidth="1"/>
    <col min="15071" max="15313" width="9.140625" style="1"/>
    <col min="15314" max="15314" width="3.7109375" style="1" customWidth="1"/>
    <col min="15315" max="15315" width="12.85546875" style="1" customWidth="1"/>
    <col min="15316" max="15316" width="37.5703125" style="1" bestFit="1" customWidth="1"/>
    <col min="15317" max="15317" width="13.85546875" style="1" customWidth="1"/>
    <col min="15318" max="15318" width="13" style="1" customWidth="1"/>
    <col min="15319" max="15319" width="13.42578125" style="1" customWidth="1"/>
    <col min="15320" max="15320" width="11.28515625" style="1" customWidth="1"/>
    <col min="15321" max="15321" width="20.85546875" style="1" bestFit="1" customWidth="1"/>
    <col min="15322" max="15322" width="13.28515625" style="1" customWidth="1"/>
    <col min="15323" max="15323" width="19.7109375" style="1" customWidth="1"/>
    <col min="15324" max="15324" width="11.5703125" style="1" customWidth="1"/>
    <col min="15325" max="15325" width="23.28515625" style="1" customWidth="1"/>
    <col min="15326" max="15326" width="15.5703125" style="1" customWidth="1"/>
    <col min="15327" max="15569" width="9.140625" style="1"/>
    <col min="15570" max="15570" width="3.7109375" style="1" customWidth="1"/>
    <col min="15571" max="15571" width="12.85546875" style="1" customWidth="1"/>
    <col min="15572" max="15572" width="37.5703125" style="1" bestFit="1" customWidth="1"/>
    <col min="15573" max="15573" width="13.85546875" style="1" customWidth="1"/>
    <col min="15574" max="15574" width="13" style="1" customWidth="1"/>
    <col min="15575" max="15575" width="13.42578125" style="1" customWidth="1"/>
    <col min="15576" max="15576" width="11.28515625" style="1" customWidth="1"/>
    <col min="15577" max="15577" width="20.85546875" style="1" bestFit="1" customWidth="1"/>
    <col min="15578" max="15578" width="13.28515625" style="1" customWidth="1"/>
    <col min="15579" max="15579" width="19.7109375" style="1" customWidth="1"/>
    <col min="15580" max="15580" width="11.5703125" style="1" customWidth="1"/>
    <col min="15581" max="15581" width="23.28515625" style="1" customWidth="1"/>
    <col min="15582" max="15582" width="15.5703125" style="1" customWidth="1"/>
    <col min="15583" max="15825" width="9.140625" style="1"/>
    <col min="15826" max="15826" width="3.7109375" style="1" customWidth="1"/>
    <col min="15827" max="15827" width="12.85546875" style="1" customWidth="1"/>
    <col min="15828" max="15828" width="37.5703125" style="1" bestFit="1" customWidth="1"/>
    <col min="15829" max="15829" width="13.85546875" style="1" customWidth="1"/>
    <col min="15830" max="15830" width="13" style="1" customWidth="1"/>
    <col min="15831" max="15831" width="13.42578125" style="1" customWidth="1"/>
    <col min="15832" max="15832" width="11.28515625" style="1" customWidth="1"/>
    <col min="15833" max="15833" width="20.85546875" style="1" bestFit="1" customWidth="1"/>
    <col min="15834" max="15834" width="13.28515625" style="1" customWidth="1"/>
    <col min="15835" max="15835" width="19.7109375" style="1" customWidth="1"/>
    <col min="15836" max="15836" width="11.5703125" style="1" customWidth="1"/>
    <col min="15837" max="15837" width="23.28515625" style="1" customWidth="1"/>
    <col min="15838" max="15838" width="15.5703125" style="1" customWidth="1"/>
    <col min="15839" max="16081" width="9.140625" style="1"/>
    <col min="16082" max="16082" width="3.7109375" style="1" customWidth="1"/>
    <col min="16083" max="16083" width="12.85546875" style="1" customWidth="1"/>
    <col min="16084" max="16084" width="37.5703125" style="1" bestFit="1" customWidth="1"/>
    <col min="16085" max="16085" width="13.85546875" style="1" customWidth="1"/>
    <col min="16086" max="16086" width="13" style="1" customWidth="1"/>
    <col min="16087" max="16087" width="13.42578125" style="1" customWidth="1"/>
    <col min="16088" max="16088" width="11.28515625" style="1" customWidth="1"/>
    <col min="16089" max="16089" width="20.85546875" style="1" bestFit="1" customWidth="1"/>
    <col min="16090" max="16090" width="13.28515625" style="1" customWidth="1"/>
    <col min="16091" max="16091" width="19.7109375" style="1" customWidth="1"/>
    <col min="16092" max="16092" width="11.5703125" style="1" customWidth="1"/>
    <col min="16093" max="16093" width="23.28515625" style="1" customWidth="1"/>
    <col min="16094" max="16094" width="15.5703125" style="1" customWidth="1"/>
    <col min="16095" max="16384" width="9.140625" style="1"/>
  </cols>
  <sheetData>
    <row r="1" spans="1:18" ht="15.75">
      <c r="A1" s="124"/>
      <c r="B1" s="125"/>
      <c r="C1" s="125"/>
      <c r="D1" s="48"/>
    </row>
    <row r="2" spans="1:18" s="2" customFormat="1" ht="90.75" thickBot="1">
      <c r="A2" s="21" t="s">
        <v>0</v>
      </c>
      <c r="B2" s="10" t="s">
        <v>1</v>
      </c>
      <c r="C2" s="49" t="s">
        <v>2</v>
      </c>
      <c r="D2" s="49" t="s">
        <v>285</v>
      </c>
      <c r="E2" s="30" t="s">
        <v>99</v>
      </c>
      <c r="F2" s="30" t="s">
        <v>89</v>
      </c>
      <c r="G2" s="30" t="s">
        <v>90</v>
      </c>
      <c r="H2" s="30" t="s">
        <v>98</v>
      </c>
      <c r="I2" s="30" t="s">
        <v>294</v>
      </c>
      <c r="J2" s="30" t="s">
        <v>100</v>
      </c>
      <c r="M2" s="129" t="s">
        <v>286</v>
      </c>
      <c r="N2" s="129"/>
      <c r="O2" s="56" t="s">
        <v>287</v>
      </c>
      <c r="P2" s="56" t="s">
        <v>288</v>
      </c>
      <c r="Q2" s="57" t="s">
        <v>289</v>
      </c>
      <c r="R2" s="57" t="s">
        <v>290</v>
      </c>
    </row>
    <row r="3" spans="1:18" ht="25.5">
      <c r="A3" s="126" t="s">
        <v>3</v>
      </c>
      <c r="B3" s="17" t="s">
        <v>85</v>
      </c>
      <c r="C3" s="50">
        <f>177214+154067</f>
        <v>331281</v>
      </c>
      <c r="D3" s="50">
        <f>40684+8088+59227</f>
        <v>107999</v>
      </c>
      <c r="E3" s="31">
        <v>27</v>
      </c>
      <c r="F3" s="31">
        <v>10</v>
      </c>
      <c r="G3" s="31">
        <v>19</v>
      </c>
      <c r="H3" s="31">
        <f>F3+G3</f>
        <v>29</v>
      </c>
      <c r="I3" s="31">
        <v>25</v>
      </c>
      <c r="J3" s="31">
        <v>3</v>
      </c>
      <c r="M3" s="36">
        <f>C3/E3</f>
        <v>12269.666666666666</v>
      </c>
      <c r="N3" s="36">
        <f>C3/H3</f>
        <v>11423.48275862069</v>
      </c>
      <c r="O3" s="36">
        <f>C3/J3</f>
        <v>110427</v>
      </c>
      <c r="P3" s="1">
        <v>10000</v>
      </c>
      <c r="Q3" s="55">
        <f>D3/$P$3</f>
        <v>10.799899999999999</v>
      </c>
      <c r="R3" s="29">
        <v>11</v>
      </c>
    </row>
    <row r="4" spans="1:18" ht="12.75" customHeight="1">
      <c r="A4" s="127"/>
      <c r="B4" s="25" t="s">
        <v>86</v>
      </c>
      <c r="C4" s="50">
        <f>70018+65230</f>
        <v>135248</v>
      </c>
      <c r="D4" s="50">
        <f>15209+2812+31275</f>
        <v>49296</v>
      </c>
      <c r="E4" s="31">
        <v>17</v>
      </c>
      <c r="F4" s="31">
        <v>15</v>
      </c>
      <c r="G4" s="31">
        <v>18</v>
      </c>
      <c r="H4" s="31">
        <f t="shared" ref="H4:H67" si="0">F4+G4</f>
        <v>33</v>
      </c>
      <c r="I4" s="31">
        <v>23</v>
      </c>
      <c r="J4" s="31">
        <v>3</v>
      </c>
      <c r="M4" s="36">
        <f>C4/E4</f>
        <v>7955.7647058823532</v>
      </c>
      <c r="N4" s="36">
        <f>C4/H4</f>
        <v>4098.424242424242</v>
      </c>
      <c r="O4" s="36">
        <f>C4/J4</f>
        <v>45082.666666666664</v>
      </c>
      <c r="Q4" s="1">
        <f>D4/$P$3</f>
        <v>4.9295999999999998</v>
      </c>
      <c r="R4" s="29">
        <v>5</v>
      </c>
    </row>
    <row r="5" spans="1:18" ht="12.75" customHeight="1">
      <c r="A5" s="127"/>
      <c r="B5" s="3" t="s">
        <v>84</v>
      </c>
      <c r="C5" s="50">
        <f>111903+138493</f>
        <v>250396</v>
      </c>
      <c r="D5" s="50">
        <f>11680+4954+57159</f>
        <v>73793</v>
      </c>
      <c r="E5" s="31">
        <v>38</v>
      </c>
      <c r="F5" s="31">
        <v>28</v>
      </c>
      <c r="G5" s="31">
        <v>19</v>
      </c>
      <c r="H5" s="31">
        <f t="shared" si="0"/>
        <v>47</v>
      </c>
      <c r="I5" s="31">
        <v>32</v>
      </c>
      <c r="J5" s="31">
        <v>3</v>
      </c>
      <c r="M5" s="36">
        <f>C5/E5</f>
        <v>6589.3684210526317</v>
      </c>
      <c r="N5" s="36">
        <f>C5/H5</f>
        <v>5327.5744680851067</v>
      </c>
      <c r="O5" s="36">
        <f>C5/J5</f>
        <v>83465.333333333328</v>
      </c>
      <c r="Q5" s="1">
        <f>D5/$P$3</f>
        <v>7.3792999999999997</v>
      </c>
      <c r="R5" s="29">
        <v>7</v>
      </c>
    </row>
    <row r="6" spans="1:18" ht="12.75" customHeight="1">
      <c r="A6" s="127"/>
      <c r="B6" s="3" t="s">
        <v>87</v>
      </c>
      <c r="C6" s="50">
        <f>49052+39286</f>
        <v>88338</v>
      </c>
      <c r="D6" s="50">
        <f>10543+2800+24674</f>
        <v>38017</v>
      </c>
      <c r="E6" s="31">
        <v>10</v>
      </c>
      <c r="F6" s="31">
        <v>6</v>
      </c>
      <c r="G6" s="31">
        <v>7</v>
      </c>
      <c r="H6" s="31">
        <f t="shared" si="0"/>
        <v>13</v>
      </c>
      <c r="I6" s="31">
        <v>9</v>
      </c>
      <c r="J6" s="31">
        <v>3</v>
      </c>
      <c r="M6" s="36">
        <f>C6/E6</f>
        <v>8833.7999999999993</v>
      </c>
      <c r="N6" s="36">
        <f>C6/H6</f>
        <v>6795.2307692307695</v>
      </c>
      <c r="O6" s="36">
        <f>C6/J6</f>
        <v>29446</v>
      </c>
      <c r="Q6" s="1">
        <f>D6/$P$3</f>
        <v>3.8016999999999999</v>
      </c>
      <c r="R6" s="29">
        <v>4</v>
      </c>
    </row>
    <row r="7" spans="1:18" ht="12.75" customHeight="1">
      <c r="A7" s="127"/>
      <c r="B7" s="3" t="s">
        <v>88</v>
      </c>
      <c r="C7" s="50">
        <f>125610+177844</f>
        <v>303454</v>
      </c>
      <c r="D7" s="50">
        <f>39167+7679+59769</f>
        <v>106615</v>
      </c>
      <c r="E7" s="31">
        <v>23</v>
      </c>
      <c r="F7" s="31">
        <v>10</v>
      </c>
      <c r="G7" s="31">
        <v>17</v>
      </c>
      <c r="H7" s="31">
        <f t="shared" si="0"/>
        <v>27</v>
      </c>
      <c r="I7" s="31">
        <v>21</v>
      </c>
      <c r="J7" s="31">
        <v>7</v>
      </c>
      <c r="M7" s="36">
        <f>C7/E7</f>
        <v>13193.652173913044</v>
      </c>
      <c r="N7" s="36">
        <f>C7/H7</f>
        <v>11239.037037037036</v>
      </c>
      <c r="O7" s="36">
        <f>C7/J7</f>
        <v>43350.571428571428</v>
      </c>
      <c r="Q7" s="1">
        <f>D7/$P$3</f>
        <v>10.6615</v>
      </c>
      <c r="R7" s="29">
        <v>11</v>
      </c>
    </row>
    <row r="8" spans="1:18" ht="15.75" thickBot="1">
      <c r="A8" s="22"/>
      <c r="B8" s="12"/>
      <c r="C8" s="51"/>
      <c r="D8" s="51"/>
      <c r="E8" s="51"/>
      <c r="F8" s="51"/>
      <c r="G8" s="51"/>
      <c r="H8" s="51"/>
      <c r="I8" s="51"/>
      <c r="J8" s="20"/>
      <c r="L8" s="55"/>
    </row>
    <row r="9" spans="1:18" ht="15" customHeight="1">
      <c r="A9" s="126" t="s">
        <v>4</v>
      </c>
      <c r="B9" s="13" t="s">
        <v>5</v>
      </c>
      <c r="C9" s="50">
        <v>125103</v>
      </c>
      <c r="D9" s="50">
        <f>ბენეფიციარები!D67+ბენეფიციარები!F67+ბენეფიციარები!H67</f>
        <v>35809</v>
      </c>
      <c r="E9" s="31">
        <v>6</v>
      </c>
      <c r="F9" s="31">
        <v>3</v>
      </c>
      <c r="G9" s="31">
        <v>3</v>
      </c>
      <c r="H9" s="31">
        <f t="shared" si="0"/>
        <v>6</v>
      </c>
      <c r="I9" s="31">
        <v>6</v>
      </c>
      <c r="J9" s="31">
        <v>2</v>
      </c>
      <c r="M9" s="36">
        <f>C9/E9</f>
        <v>20850.5</v>
      </c>
      <c r="N9" s="36">
        <f>C9/H9</f>
        <v>20850.5</v>
      </c>
      <c r="O9" s="36">
        <f t="shared" ref="O9:O15" si="1">C9/J9</f>
        <v>62551.5</v>
      </c>
      <c r="P9" s="1">
        <v>35000</v>
      </c>
      <c r="Q9" s="1">
        <f t="shared" ref="Q9:Q15" si="2">D9/$P$9</f>
        <v>1.0231142857142856</v>
      </c>
      <c r="R9" s="29">
        <v>1</v>
      </c>
    </row>
    <row r="10" spans="1:18" ht="12.75" customHeight="1">
      <c r="A10" s="127"/>
      <c r="B10" s="26" t="s">
        <v>6</v>
      </c>
      <c r="C10" s="50">
        <v>53590</v>
      </c>
      <c r="D10" s="50">
        <f>ბენეფიციარები!D62+ბენეფიციარები!F62+ბენეფიციარები!H62</f>
        <v>20693</v>
      </c>
      <c r="E10" s="31">
        <v>2</v>
      </c>
      <c r="F10" s="31"/>
      <c r="G10" s="31">
        <v>2</v>
      </c>
      <c r="H10" s="31">
        <f t="shared" si="0"/>
        <v>2</v>
      </c>
      <c r="I10" s="31">
        <v>2</v>
      </c>
      <c r="J10" s="31">
        <v>1</v>
      </c>
      <c r="M10" s="36">
        <f>C10/E10</f>
        <v>26795</v>
      </c>
      <c r="N10" s="36">
        <f>C10/H10</f>
        <v>26795</v>
      </c>
      <c r="O10" s="36">
        <f t="shared" si="1"/>
        <v>53590</v>
      </c>
      <c r="Q10" s="1">
        <f t="shared" si="2"/>
        <v>0.59122857142857144</v>
      </c>
      <c r="R10" s="29">
        <v>1</v>
      </c>
    </row>
    <row r="11" spans="1:18">
      <c r="A11" s="127"/>
      <c r="B11" s="14" t="s">
        <v>7</v>
      </c>
      <c r="C11" s="50">
        <v>81876</v>
      </c>
      <c r="D11" s="50">
        <f>ბენეფიციარები!D63+ბენეფიციარები!F63+ბენეფიციარები!H63</f>
        <v>26071</v>
      </c>
      <c r="E11" s="31">
        <v>1</v>
      </c>
      <c r="F11" s="31"/>
      <c r="G11" s="31">
        <v>1</v>
      </c>
      <c r="H11" s="31">
        <f t="shared" si="0"/>
        <v>1</v>
      </c>
      <c r="I11" s="31">
        <v>1</v>
      </c>
      <c r="J11" s="31">
        <v>1</v>
      </c>
      <c r="M11" s="36">
        <f>C11/E11</f>
        <v>81876</v>
      </c>
      <c r="N11" s="36">
        <f>C11/H11</f>
        <v>81876</v>
      </c>
      <c r="O11" s="36">
        <f t="shared" si="1"/>
        <v>81876</v>
      </c>
      <c r="Q11" s="1">
        <f t="shared" si="2"/>
        <v>0.74488571428571426</v>
      </c>
      <c r="R11" s="29">
        <v>1</v>
      </c>
    </row>
    <row r="12" spans="1:18" ht="12.75" customHeight="1">
      <c r="A12" s="127"/>
      <c r="B12" s="4" t="s">
        <v>8</v>
      </c>
      <c r="C12" s="50">
        <v>19141</v>
      </c>
      <c r="D12" s="50">
        <f>ბენეფიციარები!D64+ბენეფიციარები!F64+ბენეფიციარები!H64</f>
        <v>11224</v>
      </c>
      <c r="E12" s="31">
        <v>1</v>
      </c>
      <c r="F12" s="31"/>
      <c r="G12" s="31">
        <v>1</v>
      </c>
      <c r="H12" s="31">
        <f t="shared" si="0"/>
        <v>1</v>
      </c>
      <c r="I12" s="31">
        <v>1</v>
      </c>
      <c r="J12" s="31">
        <v>1</v>
      </c>
      <c r="K12" s="1" t="s">
        <v>92</v>
      </c>
      <c r="M12" s="36">
        <f>C12/E12</f>
        <v>19141</v>
      </c>
      <c r="N12" s="36">
        <f>C12/H12</f>
        <v>19141</v>
      </c>
      <c r="O12" s="36">
        <f t="shared" si="1"/>
        <v>19141</v>
      </c>
      <c r="Q12" s="1">
        <f t="shared" si="2"/>
        <v>0.3206857142857143</v>
      </c>
      <c r="R12" s="29">
        <v>1</v>
      </c>
    </row>
    <row r="13" spans="1:18">
      <c r="A13" s="127"/>
      <c r="B13" s="14" t="s">
        <v>9</v>
      </c>
      <c r="C13" s="50">
        <v>21127</v>
      </c>
      <c r="D13" s="50">
        <f>ბენეფიციარები!D65+ბენეფიციარები!F65+ბენეფიციარები!H65</f>
        <v>13443</v>
      </c>
      <c r="E13" s="31"/>
      <c r="F13" s="31"/>
      <c r="G13" s="31"/>
      <c r="H13" s="31"/>
      <c r="I13" s="31"/>
      <c r="J13" s="31">
        <v>1</v>
      </c>
      <c r="K13" s="1" t="s">
        <v>91</v>
      </c>
      <c r="O13" s="36">
        <f t="shared" si="1"/>
        <v>21127</v>
      </c>
      <c r="Q13" s="1">
        <f t="shared" si="2"/>
        <v>0.38408571428571431</v>
      </c>
      <c r="R13" s="29">
        <v>1</v>
      </c>
    </row>
    <row r="14" spans="1:18">
      <c r="A14" s="127"/>
      <c r="B14" s="14" t="s">
        <v>10</v>
      </c>
      <c r="C14" s="50">
        <v>104300</v>
      </c>
      <c r="D14" s="50">
        <f>ბენეფიციარები!D66+ბენეფიციარები!F66+ბენეფიციარები!H66</f>
        <v>30080</v>
      </c>
      <c r="E14" s="31">
        <v>2</v>
      </c>
      <c r="F14" s="31">
        <v>1</v>
      </c>
      <c r="G14" s="31">
        <v>1</v>
      </c>
      <c r="H14" s="31">
        <f t="shared" si="0"/>
        <v>2</v>
      </c>
      <c r="I14" s="31">
        <v>3</v>
      </c>
      <c r="J14" s="31">
        <v>1</v>
      </c>
      <c r="M14" s="36">
        <f>C14/E14</f>
        <v>52150</v>
      </c>
      <c r="N14" s="36">
        <f>C14/H14</f>
        <v>52150</v>
      </c>
      <c r="O14" s="36">
        <f t="shared" si="1"/>
        <v>104300</v>
      </c>
      <c r="Q14" s="1">
        <f t="shared" si="2"/>
        <v>0.85942857142857143</v>
      </c>
      <c r="R14" s="29">
        <v>1</v>
      </c>
    </row>
    <row r="15" spans="1:18" ht="15.75" thickBot="1">
      <c r="A15" s="128"/>
      <c r="B15" s="15" t="s">
        <v>11</v>
      </c>
      <c r="C15" s="50">
        <v>18849</v>
      </c>
      <c r="D15" s="50">
        <f>ბენეფიციარები!D68+ბენეფიციარები!F68+ბენეფიციარები!H68</f>
        <v>11354</v>
      </c>
      <c r="E15" s="31"/>
      <c r="F15" s="31"/>
      <c r="G15" s="31"/>
      <c r="H15" s="31"/>
      <c r="I15" s="31"/>
      <c r="J15" s="31">
        <v>1</v>
      </c>
      <c r="K15" s="1" t="s">
        <v>91</v>
      </c>
      <c r="O15" s="36">
        <f t="shared" si="1"/>
        <v>18849</v>
      </c>
      <c r="Q15" s="1">
        <f t="shared" si="2"/>
        <v>0.32440000000000002</v>
      </c>
      <c r="R15" s="29">
        <v>1</v>
      </c>
    </row>
    <row r="16" spans="1:18" ht="15.75" thickBot="1">
      <c r="A16" s="22"/>
      <c r="B16" s="12"/>
      <c r="C16" s="51"/>
      <c r="D16" s="51"/>
      <c r="E16" s="51"/>
      <c r="F16" s="51"/>
      <c r="G16" s="51"/>
      <c r="H16" s="51"/>
      <c r="I16" s="51"/>
      <c r="J16" s="20"/>
      <c r="L16" s="55"/>
    </row>
    <row r="17" spans="1:18" ht="12.75" customHeight="1">
      <c r="A17" s="126" t="s">
        <v>12</v>
      </c>
      <c r="B17" s="27" t="s">
        <v>13</v>
      </c>
      <c r="C17" s="50">
        <v>125692</v>
      </c>
      <c r="D17" s="50">
        <f>ბენეფიციარები!D69+ბენეფიციარები!F69+ბენეფიციარები!H69+ბენეფიციარები!D70+ბენეფიციარები!F70+ბენეფიციარები!H70+ბენეფიციარები!D40+ბენეფიციარები!F40+ბენეფიციარები!H40</f>
        <v>56151</v>
      </c>
      <c r="E17" s="31">
        <v>4</v>
      </c>
      <c r="F17" s="31">
        <v>4</v>
      </c>
      <c r="G17" s="31">
        <v>4</v>
      </c>
      <c r="H17" s="31">
        <f t="shared" si="0"/>
        <v>8</v>
      </c>
      <c r="I17" s="31">
        <v>5</v>
      </c>
      <c r="J17" s="31">
        <v>2</v>
      </c>
      <c r="M17" s="36">
        <f>C17/E17</f>
        <v>31423</v>
      </c>
      <c r="N17" s="36">
        <f>C17/H17</f>
        <v>15711.5</v>
      </c>
      <c r="O17" s="36">
        <f>C17/J17</f>
        <v>62846</v>
      </c>
      <c r="P17" s="1">
        <v>30000</v>
      </c>
      <c r="Q17" s="1">
        <f>D17/$P$17</f>
        <v>1.8716999999999999</v>
      </c>
      <c r="R17" s="29">
        <v>2</v>
      </c>
    </row>
    <row r="18" spans="1:18">
      <c r="A18" s="127"/>
      <c r="B18" s="14" t="s">
        <v>14</v>
      </c>
      <c r="C18" s="50">
        <v>43771</v>
      </c>
      <c r="D18" s="50">
        <f>ბენეფიციარები!D71+ბენეფიციარები!F71+ბენეფიციარები!H71</f>
        <v>20569</v>
      </c>
      <c r="E18" s="31">
        <v>1</v>
      </c>
      <c r="F18" s="31"/>
      <c r="G18" s="31">
        <v>1</v>
      </c>
      <c r="H18" s="31">
        <f t="shared" si="0"/>
        <v>1</v>
      </c>
      <c r="I18" s="31">
        <v>3</v>
      </c>
      <c r="J18" s="31">
        <v>1</v>
      </c>
      <c r="M18" s="36">
        <f>C18/E18</f>
        <v>43771</v>
      </c>
      <c r="N18" s="36">
        <f>C18/H18</f>
        <v>43771</v>
      </c>
      <c r="O18" s="36">
        <f>C18/J18</f>
        <v>43771</v>
      </c>
      <c r="Q18" s="1">
        <f>D18/$P$17</f>
        <v>0.68563333333333332</v>
      </c>
      <c r="R18" s="29">
        <v>1</v>
      </c>
    </row>
    <row r="19" spans="1:18">
      <c r="A19" s="127"/>
      <c r="B19" s="14" t="s">
        <v>15</v>
      </c>
      <c r="C19" s="50">
        <v>41316</v>
      </c>
      <c r="D19" s="50">
        <f>ბენეფიციარები!D72+ბენეფიციარები!F72+ბენეფიციარები!H72</f>
        <v>21344</v>
      </c>
      <c r="E19" s="31">
        <v>1</v>
      </c>
      <c r="F19" s="31"/>
      <c r="G19" s="31"/>
      <c r="H19" s="31"/>
      <c r="I19" s="31">
        <v>1</v>
      </c>
      <c r="J19" s="31">
        <v>1</v>
      </c>
      <c r="K19" s="1" t="s">
        <v>94</v>
      </c>
      <c r="M19" s="36">
        <f>C19/E19</f>
        <v>41316</v>
      </c>
      <c r="O19" s="36">
        <f>C19/J19</f>
        <v>41316</v>
      </c>
      <c r="Q19" s="1">
        <f>D19/$P$17</f>
        <v>0.71146666666666669</v>
      </c>
      <c r="R19" s="29">
        <v>1</v>
      </c>
    </row>
    <row r="20" spans="1:18" ht="15.75" thickBot="1">
      <c r="A20" s="128"/>
      <c r="B20" s="15" t="s">
        <v>16</v>
      </c>
      <c r="C20" s="50">
        <v>52603</v>
      </c>
      <c r="D20" s="50">
        <f>ბენეფიციარები!D73+ბენეფიციარები!F73+ბენეფიციარები!H73</f>
        <v>24729</v>
      </c>
      <c r="E20" s="31">
        <v>3</v>
      </c>
      <c r="F20" s="31">
        <v>1</v>
      </c>
      <c r="G20" s="31">
        <v>1</v>
      </c>
      <c r="H20" s="31">
        <f t="shared" si="0"/>
        <v>2</v>
      </c>
      <c r="I20" s="31">
        <v>1</v>
      </c>
      <c r="J20" s="31">
        <v>1</v>
      </c>
      <c r="M20" s="36">
        <f>C20/E20</f>
        <v>17534.333333333332</v>
      </c>
      <c r="N20" s="36">
        <f>C20/H20</f>
        <v>26301.5</v>
      </c>
      <c r="O20" s="36">
        <f>C20/J20</f>
        <v>52603</v>
      </c>
      <c r="Q20" s="1">
        <f>D20/$P$17</f>
        <v>0.82430000000000003</v>
      </c>
      <c r="R20" s="29">
        <v>1</v>
      </c>
    </row>
    <row r="21" spans="1:18" ht="15.75" thickBot="1">
      <c r="A21" s="22"/>
      <c r="B21" s="12"/>
      <c r="C21" s="51"/>
      <c r="D21" s="51"/>
      <c r="E21" s="51"/>
      <c r="F21" s="51"/>
      <c r="G21" s="51"/>
      <c r="H21" s="51"/>
      <c r="I21" s="51"/>
      <c r="J21" s="20"/>
      <c r="L21" s="55"/>
    </row>
    <row r="22" spans="1:18" ht="21" customHeight="1">
      <c r="A22" s="126" t="s">
        <v>17</v>
      </c>
      <c r="B22" s="17" t="s">
        <v>18</v>
      </c>
      <c r="C22" s="50">
        <v>25214</v>
      </c>
      <c r="D22" s="50">
        <f>ბენეფიციარები!D60+ბენეფიციარები!F60+ბენეფიციარები!H60</f>
        <v>10559</v>
      </c>
      <c r="E22" s="31">
        <v>2</v>
      </c>
      <c r="F22" s="31"/>
      <c r="G22" s="31">
        <v>1</v>
      </c>
      <c r="H22" s="31">
        <f t="shared" si="0"/>
        <v>1</v>
      </c>
      <c r="I22" s="31">
        <v>2</v>
      </c>
      <c r="J22" s="31">
        <v>1</v>
      </c>
      <c r="M22" s="36">
        <f>C22/E22</f>
        <v>12607</v>
      </c>
      <c r="N22" s="36">
        <f>C22/H22</f>
        <v>25214</v>
      </c>
      <c r="O22" s="36">
        <f>C22/J22</f>
        <v>25214</v>
      </c>
      <c r="P22" s="1">
        <v>23000</v>
      </c>
      <c r="Q22" s="55">
        <f>D22/$P$22</f>
        <v>0.45908695652173914</v>
      </c>
      <c r="R22" s="29">
        <v>1</v>
      </c>
    </row>
    <row r="23" spans="1:18">
      <c r="A23" s="127"/>
      <c r="B23" s="5" t="s">
        <v>19</v>
      </c>
      <c r="C23" s="50">
        <v>38895</v>
      </c>
      <c r="D23" s="50">
        <f>ბენეფიციარები!D58+ბენეფიციარები!F58+ბენეფიციარები!H58+ბენეფიციარები!D59+ბენეფიციარები!F59+ბენეფიციარები!H59</f>
        <v>12996</v>
      </c>
      <c r="E23" s="31">
        <v>3</v>
      </c>
      <c r="F23" s="31">
        <v>1</v>
      </c>
      <c r="G23" s="31">
        <v>1</v>
      </c>
      <c r="H23" s="31">
        <f t="shared" si="0"/>
        <v>2</v>
      </c>
      <c r="I23" s="31">
        <v>3</v>
      </c>
      <c r="J23" s="31">
        <v>1</v>
      </c>
      <c r="M23" s="36">
        <f>C23/E23</f>
        <v>12965</v>
      </c>
      <c r="N23" s="36">
        <f>C23/H23</f>
        <v>19447.5</v>
      </c>
      <c r="O23" s="36">
        <f>C23/J23</f>
        <v>38895</v>
      </c>
      <c r="Q23" s="55">
        <f t="shared" ref="Q23:Q26" si="3">D23/$P$22</f>
        <v>0.56504347826086954</v>
      </c>
      <c r="R23" s="29">
        <v>1</v>
      </c>
    </row>
    <row r="24" spans="1:18">
      <c r="A24" s="127"/>
      <c r="B24" s="14" t="s">
        <v>20</v>
      </c>
      <c r="C24" s="50">
        <v>16462</v>
      </c>
      <c r="D24" s="50">
        <f>ბენეფიციარები!D55+ბენეფიციარები!F55+ბენეფიციარები!H55</f>
        <v>6957</v>
      </c>
      <c r="E24" s="31"/>
      <c r="F24" s="31"/>
      <c r="G24" s="31"/>
      <c r="H24" s="31"/>
      <c r="I24" s="31"/>
      <c r="J24" s="31">
        <v>1</v>
      </c>
      <c r="O24" s="36">
        <f>C24/J24</f>
        <v>16462</v>
      </c>
      <c r="Q24" s="55">
        <f t="shared" si="3"/>
        <v>0.3024782608695652</v>
      </c>
      <c r="R24" s="29">
        <v>1</v>
      </c>
    </row>
    <row r="25" spans="1:18" ht="12.75" customHeight="1">
      <c r="A25" s="127"/>
      <c r="B25" s="4" t="s">
        <v>21</v>
      </c>
      <c r="C25" s="50">
        <v>10372</v>
      </c>
      <c r="D25" s="50">
        <f>ბენეფიციარები!D56+ბენეფიციარები!F56+ბენეფიციარები!H56</f>
        <v>4377</v>
      </c>
      <c r="E25" s="31"/>
      <c r="F25" s="31"/>
      <c r="G25" s="31"/>
      <c r="H25" s="31"/>
      <c r="I25" s="31">
        <v>1</v>
      </c>
      <c r="J25" s="31">
        <v>1</v>
      </c>
      <c r="K25" s="1" t="s">
        <v>92</v>
      </c>
      <c r="O25" s="36">
        <f>C25/J25</f>
        <v>10372</v>
      </c>
      <c r="Q25" s="55">
        <f t="shared" si="3"/>
        <v>0.19030434782608696</v>
      </c>
      <c r="R25" s="29">
        <v>1</v>
      </c>
    </row>
    <row r="26" spans="1:18">
      <c r="A26" s="127"/>
      <c r="B26" s="14" t="s">
        <v>22</v>
      </c>
      <c r="C26" s="50">
        <v>45070</v>
      </c>
      <c r="D26" s="50">
        <f>ბენეფიციარები!D57+ბენეფიციარები!F57+ბენეფიციარები!H57</f>
        <v>12827</v>
      </c>
      <c r="E26" s="31">
        <v>1</v>
      </c>
      <c r="F26" s="31"/>
      <c r="G26" s="31"/>
      <c r="H26" s="31"/>
      <c r="I26" s="31">
        <v>3</v>
      </c>
      <c r="J26" s="31">
        <v>1</v>
      </c>
      <c r="M26" s="36">
        <f>C26/E26</f>
        <v>45070</v>
      </c>
      <c r="O26" s="36">
        <f>C26/J26</f>
        <v>45070</v>
      </c>
      <c r="Q26" s="55">
        <f t="shared" si="3"/>
        <v>0.55769565217391304</v>
      </c>
      <c r="R26" s="29">
        <v>1</v>
      </c>
    </row>
    <row r="27" spans="1:18" ht="15.75" thickBot="1">
      <c r="A27" s="128"/>
      <c r="B27" s="15" t="s">
        <v>23</v>
      </c>
      <c r="C27" s="50">
        <v>24491</v>
      </c>
      <c r="D27" s="50">
        <f>ბენეფიციარები!D61+ბენეფიციარები!F61+ბენეფიციარები!H61</f>
        <v>6849</v>
      </c>
      <c r="E27" s="31"/>
      <c r="F27" s="31"/>
      <c r="G27" s="31"/>
      <c r="H27" s="31"/>
      <c r="I27" s="31">
        <v>1</v>
      </c>
      <c r="J27" s="31"/>
      <c r="R27" s="29">
        <v>1</v>
      </c>
    </row>
    <row r="28" spans="1:18" ht="15.75" thickBot="1">
      <c r="A28" s="22"/>
      <c r="B28" s="12"/>
      <c r="C28" s="51"/>
      <c r="D28" s="51"/>
      <c r="E28" s="51"/>
      <c r="F28" s="51"/>
      <c r="G28" s="51"/>
      <c r="H28" s="51"/>
      <c r="I28" s="51"/>
      <c r="J28" s="20"/>
      <c r="L28" s="55"/>
    </row>
    <row r="29" spans="1:18">
      <c r="A29" s="126" t="s">
        <v>24</v>
      </c>
      <c r="B29" s="17" t="s">
        <v>25</v>
      </c>
      <c r="C29" s="50">
        <f>7940+47711</f>
        <v>55651</v>
      </c>
      <c r="D29" s="50">
        <f>ბენეფიციარები!D43+ბენეფიციარები!F43+ბენეფიციარები!H43+ბენეფიციარები!D44+ბენეფიციარები!F44+ბენეფიციარები!H44</f>
        <v>17155</v>
      </c>
      <c r="E29" s="31">
        <v>1</v>
      </c>
      <c r="F29" s="31"/>
      <c r="G29" s="31"/>
      <c r="H29" s="31"/>
      <c r="I29" s="31"/>
      <c r="J29" s="31">
        <v>1</v>
      </c>
      <c r="M29" s="36">
        <f>C29/E29</f>
        <v>55651</v>
      </c>
      <c r="O29" s="36">
        <f>C29/J29</f>
        <v>55651</v>
      </c>
      <c r="P29" s="1">
        <v>40000</v>
      </c>
      <c r="Q29" s="55">
        <f>D29/$P$29</f>
        <v>0.42887500000000001</v>
      </c>
      <c r="R29" s="29">
        <v>1</v>
      </c>
    </row>
    <row r="30" spans="1:18">
      <c r="A30" s="127"/>
      <c r="B30" s="11" t="s">
        <v>26</v>
      </c>
      <c r="C30" s="50">
        <v>25659</v>
      </c>
      <c r="D30" s="50">
        <f>ბენეფიციარები!D41+ბენეფიციარები!F41+ბენეფიციარები!H41</f>
        <v>15887</v>
      </c>
      <c r="E30" s="31">
        <v>1</v>
      </c>
      <c r="F30" s="31"/>
      <c r="G30" s="31"/>
      <c r="H30" s="31"/>
      <c r="I30" s="31">
        <v>1</v>
      </c>
      <c r="J30" s="31">
        <v>1</v>
      </c>
      <c r="M30" s="36">
        <f>C30/E30</f>
        <v>25659</v>
      </c>
      <c r="O30" s="36">
        <f>C30/J30</f>
        <v>25659</v>
      </c>
      <c r="Q30" s="55">
        <f t="shared" ref="Q30:Q32" si="4">D30/$P$29</f>
        <v>0.397175</v>
      </c>
      <c r="R30" s="29">
        <v>1</v>
      </c>
    </row>
    <row r="31" spans="1:18" ht="17.25" customHeight="1">
      <c r="A31" s="127"/>
      <c r="B31" s="11" t="s">
        <v>27</v>
      </c>
      <c r="C31" s="50">
        <v>9468</v>
      </c>
      <c r="D31" s="50">
        <f>ბენეფიციარები!D42+ბენეფიციარები!F42+ბენეფიციარები!H42</f>
        <v>5808</v>
      </c>
      <c r="E31" s="31"/>
      <c r="F31" s="31"/>
      <c r="G31" s="31"/>
      <c r="H31" s="31"/>
      <c r="I31" s="31"/>
      <c r="J31" s="31">
        <v>1</v>
      </c>
      <c r="K31" s="1" t="s">
        <v>91</v>
      </c>
      <c r="O31" s="36">
        <f>C31/J31</f>
        <v>9468</v>
      </c>
      <c r="Q31" s="55">
        <f t="shared" si="4"/>
        <v>0.1452</v>
      </c>
      <c r="R31" s="29">
        <v>1</v>
      </c>
    </row>
    <row r="32" spans="1:18" ht="15.75" thickBot="1">
      <c r="A32" s="128"/>
      <c r="B32" s="18" t="s">
        <v>28</v>
      </c>
      <c r="C32" s="50">
        <v>3795</v>
      </c>
      <c r="D32" s="50">
        <f>ბენეფიციარები!D45+ბენეფიციარები!F45+ბენეფიციარები!H45</f>
        <v>2243</v>
      </c>
      <c r="E32" s="31"/>
      <c r="F32" s="31"/>
      <c r="G32" s="31"/>
      <c r="H32" s="31"/>
      <c r="I32" s="31"/>
      <c r="J32" s="31">
        <v>1</v>
      </c>
      <c r="K32" s="1" t="s">
        <v>91</v>
      </c>
      <c r="O32" s="36">
        <f>C32/J32</f>
        <v>3795</v>
      </c>
      <c r="Q32" s="55">
        <f t="shared" si="4"/>
        <v>5.6075E-2</v>
      </c>
      <c r="R32" s="29">
        <v>1</v>
      </c>
    </row>
    <row r="33" spans="1:18" ht="15.75" thickBot="1">
      <c r="A33" s="22"/>
      <c r="B33" s="12"/>
      <c r="C33" s="51"/>
      <c r="D33" s="51"/>
      <c r="E33" s="51"/>
      <c r="F33" s="51"/>
      <c r="G33" s="51"/>
      <c r="H33" s="51"/>
      <c r="I33" s="51"/>
      <c r="J33" s="20"/>
      <c r="L33" s="55"/>
    </row>
    <row r="34" spans="1:18">
      <c r="A34" s="126" t="s">
        <v>29</v>
      </c>
      <c r="B34" s="17" t="s">
        <v>30</v>
      </c>
      <c r="C34" s="50">
        <v>58350</v>
      </c>
      <c r="D34" s="50">
        <f>ბენეფიციარები!D22+ბენეფიციარები!F22+ბენეფიციარები!H22+ბენეფიციარები!D23+ბენეფიციარები!F23+ბენეფიციარები!H23</f>
        <v>23607</v>
      </c>
      <c r="E34" s="31">
        <v>2</v>
      </c>
      <c r="F34" s="31">
        <v>2</v>
      </c>
      <c r="G34" s="31">
        <v>1</v>
      </c>
      <c r="H34" s="31">
        <f t="shared" si="0"/>
        <v>3</v>
      </c>
      <c r="I34" s="31">
        <v>4</v>
      </c>
      <c r="J34" s="31">
        <v>1</v>
      </c>
      <c r="M34" s="36">
        <f t="shared" ref="M34:M41" si="5">C34/E34</f>
        <v>29175</v>
      </c>
      <c r="N34" s="36">
        <f>C34/H34</f>
        <v>19450</v>
      </c>
      <c r="O34" s="36">
        <f t="shared" ref="O34:O41" si="6">C34/J34</f>
        <v>58350</v>
      </c>
      <c r="P34" s="1">
        <v>32500</v>
      </c>
      <c r="Q34" s="55">
        <f>D34/$P$34</f>
        <v>0.72636923076923077</v>
      </c>
      <c r="R34" s="29">
        <v>1</v>
      </c>
    </row>
    <row r="35" spans="1:18">
      <c r="A35" s="127"/>
      <c r="B35" s="11" t="s">
        <v>31</v>
      </c>
      <c r="C35" s="50">
        <v>31461</v>
      </c>
      <c r="D35" s="50">
        <f>ბენეფიციარები!D19+ბენეფიციარები!F19+ბენეფიციარები!H19</f>
        <v>17007</v>
      </c>
      <c r="E35" s="31">
        <v>1</v>
      </c>
      <c r="F35" s="31"/>
      <c r="G35" s="31"/>
      <c r="H35" s="31"/>
      <c r="I35" s="31">
        <v>1</v>
      </c>
      <c r="J35" s="31">
        <v>1</v>
      </c>
      <c r="M35" s="36">
        <f t="shared" si="5"/>
        <v>31461</v>
      </c>
      <c r="O35" s="36">
        <f t="shared" si="6"/>
        <v>31461</v>
      </c>
      <c r="Q35" s="55">
        <f t="shared" ref="Q35:Q41" si="7">D35/$P$34</f>
        <v>0.52329230769230772</v>
      </c>
      <c r="R35" s="29">
        <v>1</v>
      </c>
    </row>
    <row r="36" spans="1:18" ht="25.5">
      <c r="A36" s="127"/>
      <c r="B36" s="11" t="s">
        <v>32</v>
      </c>
      <c r="C36" s="50">
        <v>54337</v>
      </c>
      <c r="D36" s="50">
        <f>ბენეფიციარები!D20+ბენეფიციარები!F20+ბენეფიციარები!H20</f>
        <v>28149</v>
      </c>
      <c r="E36" s="31">
        <v>1</v>
      </c>
      <c r="F36" s="31">
        <v>1</v>
      </c>
      <c r="G36" s="31">
        <v>1</v>
      </c>
      <c r="H36" s="31">
        <f t="shared" si="0"/>
        <v>2</v>
      </c>
      <c r="I36" s="31">
        <v>2</v>
      </c>
      <c r="J36" s="31">
        <v>1</v>
      </c>
      <c r="M36" s="36">
        <f t="shared" si="5"/>
        <v>54337</v>
      </c>
      <c r="N36" s="36">
        <f>C36/H36</f>
        <v>27168.5</v>
      </c>
      <c r="O36" s="36">
        <f t="shared" si="6"/>
        <v>54337</v>
      </c>
      <c r="Q36" s="55">
        <f t="shared" si="7"/>
        <v>0.86612307692307688</v>
      </c>
      <c r="R36" s="29">
        <v>1</v>
      </c>
    </row>
    <row r="37" spans="1:18">
      <c r="A37" s="127"/>
      <c r="B37" s="11" t="s">
        <v>33</v>
      </c>
      <c r="C37" s="50">
        <v>29827</v>
      </c>
      <c r="D37" s="50">
        <f>ბენეფიციარები!D27+ბენეფიციარები!F27+ბენეფიციარები!H27</f>
        <v>12095</v>
      </c>
      <c r="E37" s="31">
        <v>1</v>
      </c>
      <c r="F37" s="31"/>
      <c r="G37" s="31">
        <v>1</v>
      </c>
      <c r="H37" s="31">
        <f t="shared" si="0"/>
        <v>1</v>
      </c>
      <c r="I37" s="31">
        <v>1</v>
      </c>
      <c r="J37" s="31">
        <v>1</v>
      </c>
      <c r="M37" s="36">
        <f t="shared" si="5"/>
        <v>29827</v>
      </c>
      <c r="N37" s="36">
        <f>C37/H37</f>
        <v>29827</v>
      </c>
      <c r="O37" s="36">
        <f t="shared" si="6"/>
        <v>29827</v>
      </c>
      <c r="Q37" s="55">
        <f t="shared" si="7"/>
        <v>0.37215384615384617</v>
      </c>
      <c r="R37" s="29">
        <v>1</v>
      </c>
    </row>
    <row r="38" spans="1:18">
      <c r="A38" s="127"/>
      <c r="B38" s="11" t="s">
        <v>34</v>
      </c>
      <c r="C38" s="50">
        <v>29948</v>
      </c>
      <c r="D38" s="50">
        <f>ბენეფიციარები!D26+ბენეფიციარები!F26+ბენეფიციარები!H26</f>
        <v>15560</v>
      </c>
      <c r="E38" s="31">
        <v>1</v>
      </c>
      <c r="F38" s="31"/>
      <c r="G38" s="31">
        <v>1</v>
      </c>
      <c r="H38" s="31">
        <f t="shared" si="0"/>
        <v>1</v>
      </c>
      <c r="I38" s="31">
        <v>2</v>
      </c>
      <c r="J38" s="31">
        <v>1</v>
      </c>
      <c r="M38" s="36">
        <f t="shared" si="5"/>
        <v>29948</v>
      </c>
      <c r="N38" s="36">
        <f>C38/H38</f>
        <v>29948</v>
      </c>
      <c r="O38" s="36">
        <f t="shared" si="6"/>
        <v>29948</v>
      </c>
      <c r="Q38" s="55">
        <f t="shared" si="7"/>
        <v>0.47876923076923078</v>
      </c>
      <c r="R38" s="29">
        <v>1</v>
      </c>
    </row>
    <row r="39" spans="1:18" ht="25.5">
      <c r="A39" s="127"/>
      <c r="B39" s="11" t="s">
        <v>35</v>
      </c>
      <c r="C39" s="50">
        <v>51761</v>
      </c>
      <c r="D39" s="50">
        <f>ბენეფიციარები!D25+ბენეფიციარები!F25+ბენეფიციარები!H25</f>
        <v>17885</v>
      </c>
      <c r="E39" s="31">
        <v>3</v>
      </c>
      <c r="F39" s="31"/>
      <c r="G39" s="31">
        <v>1</v>
      </c>
      <c r="H39" s="31">
        <f t="shared" si="0"/>
        <v>1</v>
      </c>
      <c r="I39" s="31">
        <v>2</v>
      </c>
      <c r="J39" s="31">
        <v>1</v>
      </c>
      <c r="M39" s="36">
        <f t="shared" si="5"/>
        <v>17253.666666666668</v>
      </c>
      <c r="N39" s="36">
        <f>C39/H39</f>
        <v>51761</v>
      </c>
      <c r="O39" s="36">
        <f t="shared" si="6"/>
        <v>51761</v>
      </c>
      <c r="Q39" s="55">
        <f t="shared" si="7"/>
        <v>0.55030769230769228</v>
      </c>
      <c r="R39" s="29">
        <v>1</v>
      </c>
    </row>
    <row r="40" spans="1:18" ht="25.5">
      <c r="A40" s="127"/>
      <c r="B40" s="11" t="s">
        <v>36</v>
      </c>
      <c r="C40" s="50">
        <v>41678</v>
      </c>
      <c r="D40" s="50">
        <f>ბენეფიციარები!D24+ბენეფიციარები!F24+ბენეფიციარები!H24</f>
        <v>19389</v>
      </c>
      <c r="E40" s="31">
        <v>1</v>
      </c>
      <c r="F40" s="31"/>
      <c r="G40" s="31">
        <v>1</v>
      </c>
      <c r="H40" s="31">
        <f t="shared" si="0"/>
        <v>1</v>
      </c>
      <c r="I40" s="31">
        <v>2</v>
      </c>
      <c r="J40" s="31">
        <v>1</v>
      </c>
      <c r="M40" s="36">
        <f t="shared" si="5"/>
        <v>41678</v>
      </c>
      <c r="N40" s="36">
        <f>C40/H40</f>
        <v>41678</v>
      </c>
      <c r="O40" s="36">
        <f t="shared" si="6"/>
        <v>41678</v>
      </c>
      <c r="Q40" s="55">
        <f t="shared" si="7"/>
        <v>0.59658461538461538</v>
      </c>
      <c r="R40" s="29">
        <v>1</v>
      </c>
    </row>
    <row r="41" spans="1:18" ht="26.25" thickBot="1">
      <c r="A41" s="128"/>
      <c r="B41" s="18" t="s">
        <v>37</v>
      </c>
      <c r="C41" s="50">
        <v>21221</v>
      </c>
      <c r="D41" s="50">
        <f>ბენეფიციარები!D21+ბენეფიციარები!F21+ბენეფიციარები!H21</f>
        <v>10833</v>
      </c>
      <c r="E41" s="31">
        <v>1</v>
      </c>
      <c r="F41" s="31"/>
      <c r="G41" s="31"/>
      <c r="H41" s="31"/>
      <c r="I41" s="31"/>
      <c r="J41" s="31">
        <v>1</v>
      </c>
      <c r="M41" s="36">
        <f t="shared" si="5"/>
        <v>21221</v>
      </c>
      <c r="O41" s="36">
        <f t="shared" si="6"/>
        <v>21221</v>
      </c>
      <c r="Q41" s="55">
        <f t="shared" si="7"/>
        <v>0.33332307692307694</v>
      </c>
      <c r="R41" s="29">
        <v>1</v>
      </c>
    </row>
    <row r="42" spans="1:18" ht="15.75" thickBot="1">
      <c r="A42" s="22"/>
      <c r="B42" s="12"/>
      <c r="C42" s="51"/>
      <c r="D42" s="51"/>
      <c r="E42" s="51"/>
      <c r="F42" s="20"/>
      <c r="G42" s="20"/>
      <c r="H42" s="51"/>
      <c r="I42" s="51"/>
      <c r="J42" s="20"/>
    </row>
    <row r="43" spans="1:18" ht="25.5">
      <c r="A43" s="126" t="s">
        <v>38</v>
      </c>
      <c r="B43" s="17" t="s">
        <v>39</v>
      </c>
      <c r="C43" s="50">
        <v>57628</v>
      </c>
      <c r="D43" s="50">
        <f>ბენეფიციარები!D30+ბენეფიციარები!F30+ბენეფიციარები!H30</f>
        <v>24281</v>
      </c>
      <c r="E43" s="31">
        <v>3</v>
      </c>
      <c r="F43" s="31">
        <v>1</v>
      </c>
      <c r="G43" s="31">
        <v>2</v>
      </c>
      <c r="H43" s="31">
        <f t="shared" si="0"/>
        <v>3</v>
      </c>
      <c r="I43" s="31">
        <v>4</v>
      </c>
      <c r="J43" s="31">
        <v>1</v>
      </c>
      <c r="M43" s="36">
        <f>C43/E43</f>
        <v>19209.333333333332</v>
      </c>
      <c r="N43" s="36">
        <f>C43/H43</f>
        <v>19209.333333333332</v>
      </c>
      <c r="O43" s="36">
        <f t="shared" ref="O43:O54" si="8">C43/J43</f>
        <v>57628</v>
      </c>
      <c r="P43" s="1">
        <v>27000</v>
      </c>
      <c r="Q43" s="55">
        <f>D43/$P$43</f>
        <v>0.89929629629629626</v>
      </c>
      <c r="R43" s="29">
        <v>1</v>
      </c>
    </row>
    <row r="44" spans="1:18">
      <c r="A44" s="127"/>
      <c r="B44" s="5" t="s">
        <v>40</v>
      </c>
      <c r="C44" s="50">
        <f>9737+9736</f>
        <v>19473</v>
      </c>
      <c r="D44" s="50">
        <f>ბენეფიციარები!D38+ბენეფიციარები!F38+ბენეფიციარები!H38</f>
        <v>13963</v>
      </c>
      <c r="E44" s="31"/>
      <c r="F44" s="31"/>
      <c r="G44" s="31"/>
      <c r="H44" s="31"/>
      <c r="I44" s="31"/>
      <c r="J44" s="31">
        <v>1</v>
      </c>
      <c r="K44" s="1" t="s">
        <v>91</v>
      </c>
      <c r="O44" s="36">
        <f t="shared" si="8"/>
        <v>19473</v>
      </c>
      <c r="Q44" s="55">
        <f t="shared" ref="Q44:Q54" si="9">D44/$P$43</f>
        <v>0.51714814814814813</v>
      </c>
      <c r="R44" s="29">
        <v>1</v>
      </c>
    </row>
    <row r="45" spans="1:18">
      <c r="A45" s="127"/>
      <c r="B45" s="11" t="s">
        <v>41</v>
      </c>
      <c r="C45" s="50">
        <v>37775</v>
      </c>
      <c r="D45" s="50">
        <f>ბენეფიციარები!D33+ბენეფიციარები!F33+ბენეფიციარები!H33</f>
        <v>18568</v>
      </c>
      <c r="E45" s="31">
        <v>1</v>
      </c>
      <c r="F45" s="31"/>
      <c r="G45" s="31">
        <v>1</v>
      </c>
      <c r="H45" s="31">
        <f t="shared" si="0"/>
        <v>1</v>
      </c>
      <c r="I45" s="31">
        <v>3</v>
      </c>
      <c r="J45" s="31">
        <v>1</v>
      </c>
      <c r="M45" s="36">
        <f t="shared" ref="M45:M54" si="10">C45/E45</f>
        <v>37775</v>
      </c>
      <c r="N45" s="36">
        <f>C45/H45</f>
        <v>37775</v>
      </c>
      <c r="O45" s="36">
        <f t="shared" si="8"/>
        <v>37775</v>
      </c>
      <c r="Q45" s="55">
        <f t="shared" si="9"/>
        <v>0.68770370370370371</v>
      </c>
      <c r="R45" s="29">
        <v>1</v>
      </c>
    </row>
    <row r="46" spans="1:18" ht="25.5">
      <c r="A46" s="127"/>
      <c r="B46" s="11" t="s">
        <v>42</v>
      </c>
      <c r="C46" s="50">
        <v>39884</v>
      </c>
      <c r="D46" s="50">
        <f>ბენეფიციარები!D37+ბენეფიციარები!F37+ბენეფიციარები!H37</f>
        <v>26372</v>
      </c>
      <c r="E46" s="31">
        <v>2</v>
      </c>
      <c r="F46" s="31"/>
      <c r="G46" s="31">
        <v>1</v>
      </c>
      <c r="H46" s="31">
        <f t="shared" si="0"/>
        <v>1</v>
      </c>
      <c r="I46" s="31">
        <v>4</v>
      </c>
      <c r="J46" s="31">
        <v>1</v>
      </c>
      <c r="M46" s="36">
        <f t="shared" si="10"/>
        <v>19942</v>
      </c>
      <c r="N46" s="36">
        <f>C46/H46</f>
        <v>39884</v>
      </c>
      <c r="O46" s="36">
        <f t="shared" si="8"/>
        <v>39884</v>
      </c>
      <c r="Q46" s="55">
        <f t="shared" si="9"/>
        <v>0.97674074074074069</v>
      </c>
      <c r="R46" s="29">
        <v>1</v>
      </c>
    </row>
    <row r="47" spans="1:18">
      <c r="A47" s="127"/>
      <c r="B47" s="11" t="s">
        <v>43</v>
      </c>
      <c r="C47" s="50">
        <v>24512</v>
      </c>
      <c r="D47" s="50">
        <f>ბენეფიციარები!D29+ბენეფიციარები!F29+ბენეფიციარები!H29</f>
        <v>13708</v>
      </c>
      <c r="E47" s="31">
        <v>1</v>
      </c>
      <c r="F47" s="31"/>
      <c r="G47" s="31"/>
      <c r="H47" s="31"/>
      <c r="I47" s="31">
        <v>1</v>
      </c>
      <c r="J47" s="31">
        <v>1</v>
      </c>
      <c r="M47" s="36">
        <f t="shared" si="10"/>
        <v>24512</v>
      </c>
      <c r="O47" s="36">
        <f t="shared" si="8"/>
        <v>24512</v>
      </c>
      <c r="Q47" s="55">
        <f t="shared" si="9"/>
        <v>0.50770370370370366</v>
      </c>
      <c r="R47" s="29">
        <v>1</v>
      </c>
    </row>
    <row r="48" spans="1:18" ht="25.5">
      <c r="A48" s="127"/>
      <c r="B48" s="11" t="s">
        <v>44</v>
      </c>
      <c r="C48" s="50">
        <v>48562</v>
      </c>
      <c r="D48" s="50">
        <f>ბენეფიციარები!D32+ბენეფიციარები!F32+ბენეფიციარები!H32</f>
        <v>18062</v>
      </c>
      <c r="E48" s="31">
        <v>2</v>
      </c>
      <c r="F48" s="31">
        <v>1</v>
      </c>
      <c r="G48" s="31">
        <v>2</v>
      </c>
      <c r="H48" s="31">
        <f t="shared" si="0"/>
        <v>3</v>
      </c>
      <c r="I48" s="31">
        <v>2</v>
      </c>
      <c r="J48" s="31">
        <v>1</v>
      </c>
      <c r="M48" s="36">
        <f t="shared" si="10"/>
        <v>24281</v>
      </c>
      <c r="N48" s="36">
        <f>C48/H48</f>
        <v>16187.333333333334</v>
      </c>
      <c r="O48" s="36">
        <f t="shared" si="8"/>
        <v>48562</v>
      </c>
      <c r="Q48" s="55">
        <f t="shared" si="9"/>
        <v>0.66896296296296298</v>
      </c>
      <c r="R48" s="29">
        <v>1</v>
      </c>
    </row>
    <row r="49" spans="1:18">
      <c r="A49" s="127"/>
      <c r="B49" s="11" t="s">
        <v>45</v>
      </c>
      <c r="C49" s="50">
        <v>23570</v>
      </c>
      <c r="D49" s="50">
        <f>ბენეფიციარები!D39+ბენეფიციარები!F39+ბენეფიციარები!H39</f>
        <v>13899</v>
      </c>
      <c r="E49" s="31">
        <v>1</v>
      </c>
      <c r="F49" s="31"/>
      <c r="G49" s="31"/>
      <c r="H49" s="31"/>
      <c r="I49" s="31">
        <v>1</v>
      </c>
      <c r="J49" s="31">
        <v>1</v>
      </c>
      <c r="M49" s="36">
        <f t="shared" si="10"/>
        <v>23570</v>
      </c>
      <c r="O49" s="36">
        <f t="shared" si="8"/>
        <v>23570</v>
      </c>
      <c r="Q49" s="55">
        <f t="shared" si="9"/>
        <v>0.51477777777777778</v>
      </c>
      <c r="R49" s="29">
        <v>1</v>
      </c>
    </row>
    <row r="50" spans="1:18" ht="25.5">
      <c r="A50" s="127"/>
      <c r="B50" s="11" t="s">
        <v>46</v>
      </c>
      <c r="C50" s="50">
        <v>74835</v>
      </c>
      <c r="D50" s="50">
        <f>ბენეფიციარები!D36+ბენეფიციარები!F36+ბენეფიციარები!H36</f>
        <v>22791</v>
      </c>
      <c r="E50" s="31">
        <v>1</v>
      </c>
      <c r="F50" s="31"/>
      <c r="G50" s="31"/>
      <c r="H50" s="31"/>
      <c r="I50" s="31">
        <v>1</v>
      </c>
      <c r="J50" s="31">
        <v>1</v>
      </c>
      <c r="M50" s="36">
        <f t="shared" si="10"/>
        <v>74835</v>
      </c>
      <c r="O50" s="36">
        <f t="shared" si="8"/>
        <v>74835</v>
      </c>
      <c r="Q50" s="55">
        <f t="shared" si="9"/>
        <v>0.84411111111111115</v>
      </c>
      <c r="R50" s="29">
        <v>1</v>
      </c>
    </row>
    <row r="51" spans="1:18" ht="12.75" customHeight="1">
      <c r="A51" s="127"/>
      <c r="B51" s="25" t="s">
        <v>47</v>
      </c>
      <c r="C51" s="50">
        <v>147635</v>
      </c>
      <c r="D51" s="50">
        <f>ბენეფიციარები!D35+ბენეფიციარები!F35+ბენეფიციარები!H35</f>
        <v>49878</v>
      </c>
      <c r="E51" s="31">
        <v>19</v>
      </c>
      <c r="F51" s="31">
        <v>4</v>
      </c>
      <c r="G51" s="31">
        <v>10</v>
      </c>
      <c r="H51" s="31">
        <f t="shared" si="0"/>
        <v>14</v>
      </c>
      <c r="I51" s="31">
        <v>21</v>
      </c>
      <c r="J51" s="31">
        <v>2</v>
      </c>
      <c r="M51" s="36">
        <f t="shared" si="10"/>
        <v>7770.2631578947367</v>
      </c>
      <c r="N51" s="36">
        <f>C51/H51</f>
        <v>10545.357142857143</v>
      </c>
      <c r="O51" s="36">
        <f t="shared" si="8"/>
        <v>73817.5</v>
      </c>
      <c r="Q51" s="55">
        <f t="shared" si="9"/>
        <v>1.8473333333333333</v>
      </c>
      <c r="R51" s="29">
        <v>2</v>
      </c>
    </row>
    <row r="52" spans="1:18" ht="25.5">
      <c r="A52" s="127"/>
      <c r="B52" s="11" t="s">
        <v>48</v>
      </c>
      <c r="C52" s="50">
        <v>21582</v>
      </c>
      <c r="D52" s="50">
        <f>ბენეფიციარები!D28+ბენეფიციარები!F28+ბენეფიციარები!H28</f>
        <v>10246</v>
      </c>
      <c r="E52" s="31">
        <v>1</v>
      </c>
      <c r="F52" s="31"/>
      <c r="G52" s="31"/>
      <c r="H52" s="31"/>
      <c r="I52" s="31">
        <v>1</v>
      </c>
      <c r="J52" s="31">
        <v>1</v>
      </c>
      <c r="M52" s="36">
        <f t="shared" si="10"/>
        <v>21582</v>
      </c>
      <c r="O52" s="36">
        <f t="shared" si="8"/>
        <v>21582</v>
      </c>
      <c r="Q52" s="55">
        <f t="shared" si="9"/>
        <v>0.37948148148148148</v>
      </c>
      <c r="R52" s="29">
        <v>1</v>
      </c>
    </row>
    <row r="53" spans="1:18" ht="25.5">
      <c r="A53" s="127"/>
      <c r="B53" s="11" t="s">
        <v>49</v>
      </c>
      <c r="C53" s="50">
        <v>35563</v>
      </c>
      <c r="D53" s="50">
        <f>ბენეფიციარები!D31+ბენეფიციარები!F31+ბენეფიციარები!H31</f>
        <v>12806</v>
      </c>
      <c r="E53" s="31">
        <v>1</v>
      </c>
      <c r="F53" s="31"/>
      <c r="G53" s="31">
        <v>1</v>
      </c>
      <c r="H53" s="31">
        <f t="shared" si="0"/>
        <v>1</v>
      </c>
      <c r="I53" s="31">
        <v>1</v>
      </c>
      <c r="J53" s="31">
        <v>1</v>
      </c>
      <c r="M53" s="36">
        <f t="shared" si="10"/>
        <v>35563</v>
      </c>
      <c r="N53" s="36">
        <f>C53/H53</f>
        <v>35563</v>
      </c>
      <c r="O53" s="36">
        <f t="shared" si="8"/>
        <v>35563</v>
      </c>
      <c r="Q53" s="55">
        <f t="shared" si="9"/>
        <v>0.47429629629629627</v>
      </c>
      <c r="R53" s="29">
        <v>1</v>
      </c>
    </row>
    <row r="54" spans="1:18" ht="26.25" thickBot="1">
      <c r="A54" s="128"/>
      <c r="B54" s="18" t="s">
        <v>50</v>
      </c>
      <c r="C54" s="50">
        <v>20839</v>
      </c>
      <c r="D54" s="50">
        <f>ბენეფიციარები!D34+ბენეფიციარები!F34+ბენეფიციარები!H34</f>
        <v>10148</v>
      </c>
      <c r="E54" s="31">
        <v>1</v>
      </c>
      <c r="F54" s="31"/>
      <c r="G54" s="31">
        <v>1</v>
      </c>
      <c r="H54" s="31">
        <f t="shared" si="0"/>
        <v>1</v>
      </c>
      <c r="I54" s="31">
        <v>1</v>
      </c>
      <c r="J54" s="31">
        <v>1</v>
      </c>
      <c r="M54" s="36">
        <f t="shared" si="10"/>
        <v>20839</v>
      </c>
      <c r="N54" s="36">
        <f>C54/H54</f>
        <v>20839</v>
      </c>
      <c r="O54" s="36">
        <f t="shared" si="8"/>
        <v>20839</v>
      </c>
      <c r="Q54" s="55">
        <f t="shared" si="9"/>
        <v>0.37585185185185183</v>
      </c>
      <c r="R54" s="29">
        <v>1</v>
      </c>
    </row>
    <row r="55" spans="1:18" ht="15.75" thickBot="1">
      <c r="A55" s="22"/>
      <c r="B55" s="12"/>
      <c r="C55" s="51"/>
      <c r="D55" s="51"/>
      <c r="E55" s="51"/>
      <c r="F55" s="20"/>
      <c r="G55" s="20"/>
      <c r="H55" s="51"/>
      <c r="I55" s="51"/>
      <c r="J55" s="20"/>
    </row>
    <row r="56" spans="1:18" ht="25.5">
      <c r="A56" s="126" t="s">
        <v>51</v>
      </c>
      <c r="B56" s="17" t="s">
        <v>52</v>
      </c>
      <c r="C56" s="50">
        <v>11186</v>
      </c>
      <c r="D56" s="50">
        <f>ბენეფიციარები!D14+ბენეფიციარები!F14+ბენეფიციარები!H14+ბენეფიციარები!D15+ბენეფიციარები!F15+ბენეფიციარები!H15</f>
        <v>10180</v>
      </c>
      <c r="E56" s="31">
        <v>1</v>
      </c>
      <c r="F56" s="31"/>
      <c r="G56" s="31"/>
      <c r="H56" s="31"/>
      <c r="I56" s="31">
        <v>1</v>
      </c>
      <c r="J56" s="31">
        <v>1</v>
      </c>
      <c r="M56" s="36">
        <f>C56/E56</f>
        <v>11186</v>
      </c>
      <c r="O56" s="36">
        <f>C56/J56</f>
        <v>11186</v>
      </c>
      <c r="P56" s="1">
        <v>8600</v>
      </c>
      <c r="Q56" s="55">
        <f>D56/$P$56</f>
        <v>1.1837209302325582</v>
      </c>
      <c r="R56" s="29">
        <v>1</v>
      </c>
    </row>
    <row r="57" spans="1:18" ht="25.5">
      <c r="A57" s="127"/>
      <c r="B57" s="11" t="s">
        <v>53</v>
      </c>
      <c r="C57" s="50">
        <v>4386</v>
      </c>
      <c r="D57" s="50">
        <f>ბენეფიციარები!D16+ბენეფიციარები!F16+ბენეფიციარები!H16</f>
        <v>4164</v>
      </c>
      <c r="E57" s="31"/>
      <c r="F57" s="31"/>
      <c r="G57" s="31"/>
      <c r="H57" s="31"/>
      <c r="I57" s="31"/>
      <c r="J57" s="31">
        <v>1</v>
      </c>
      <c r="K57" s="1" t="s">
        <v>91</v>
      </c>
      <c r="O57" s="36">
        <f>C57/J57</f>
        <v>4386</v>
      </c>
      <c r="Q57" s="55">
        <f t="shared" ref="Q57:Q59" si="11">D57/$P$56</f>
        <v>0.48418604651162789</v>
      </c>
      <c r="R57" s="29">
        <v>1</v>
      </c>
    </row>
    <row r="58" spans="1:18">
      <c r="A58" s="127"/>
      <c r="B58" s="11" t="s">
        <v>54</v>
      </c>
      <c r="C58" s="50">
        <v>6130</v>
      </c>
      <c r="D58" s="50">
        <f>ბენეფიციარები!D17+ბენეფიციარები!F17+ბენეფიციარები!H17</f>
        <v>5836</v>
      </c>
      <c r="E58" s="31">
        <v>1</v>
      </c>
      <c r="F58" s="31"/>
      <c r="G58" s="31"/>
      <c r="H58" s="31"/>
      <c r="I58" s="31"/>
      <c r="J58" s="31">
        <v>1</v>
      </c>
      <c r="M58" s="36">
        <f>C58/E58</f>
        <v>6130</v>
      </c>
      <c r="O58" s="36">
        <f>C58/J58</f>
        <v>6130</v>
      </c>
      <c r="Q58" s="55">
        <f t="shared" si="11"/>
        <v>0.67860465116279067</v>
      </c>
      <c r="R58" s="29">
        <v>1</v>
      </c>
    </row>
    <row r="59" spans="1:18" ht="15.75" thickBot="1">
      <c r="A59" s="128"/>
      <c r="B59" s="18" t="s">
        <v>55</v>
      </c>
      <c r="C59" s="50">
        <v>10387</v>
      </c>
      <c r="D59" s="50">
        <f>ბენეფიციარები!D18+ბენეფიციარები!F18+ბენეფიციარები!H18</f>
        <v>8938</v>
      </c>
      <c r="E59" s="31"/>
      <c r="F59" s="31"/>
      <c r="G59" s="31"/>
      <c r="H59" s="31"/>
      <c r="I59" s="31"/>
      <c r="J59" s="31">
        <v>1</v>
      </c>
      <c r="K59" s="1" t="s">
        <v>91</v>
      </c>
      <c r="O59" s="36">
        <f>C59/J59</f>
        <v>10387</v>
      </c>
      <c r="Q59" s="55">
        <f t="shared" si="11"/>
        <v>1.0393023255813953</v>
      </c>
      <c r="R59" s="29">
        <v>1</v>
      </c>
    </row>
    <row r="60" spans="1:18" ht="15.75" thickBot="1">
      <c r="A60" s="22"/>
      <c r="B60" s="12"/>
      <c r="C60" s="51"/>
      <c r="D60" s="51"/>
      <c r="E60" s="51"/>
      <c r="F60" s="20"/>
      <c r="G60" s="20"/>
      <c r="H60" s="51"/>
      <c r="I60" s="51"/>
      <c r="J60" s="20"/>
    </row>
    <row r="61" spans="1:18" ht="25.5" customHeight="1">
      <c r="A61" s="126" t="s">
        <v>56</v>
      </c>
      <c r="B61" s="17" t="s">
        <v>57</v>
      </c>
      <c r="C61" s="50">
        <v>33463</v>
      </c>
      <c r="D61" s="50">
        <f>ბენეფიციარები!D48+ბენეფიციარები!F48+ბენეფიციარები!H48</f>
        <v>19261</v>
      </c>
      <c r="E61" s="31">
        <v>1</v>
      </c>
      <c r="F61" s="31"/>
      <c r="G61" s="31">
        <v>1</v>
      </c>
      <c r="H61" s="31">
        <f t="shared" si="0"/>
        <v>1</v>
      </c>
      <c r="I61" s="31"/>
      <c r="J61" s="31">
        <v>1</v>
      </c>
      <c r="M61" s="36">
        <f>C61/E61</f>
        <v>33463</v>
      </c>
      <c r="N61" s="36">
        <f>C61/H61</f>
        <v>33463</v>
      </c>
      <c r="O61" s="36">
        <f t="shared" ref="O61:O67" si="12">C61/J61</f>
        <v>33463</v>
      </c>
      <c r="P61" s="1">
        <v>24000</v>
      </c>
      <c r="Q61" s="55">
        <f>D61/$P$61</f>
        <v>0.80254166666666671</v>
      </c>
      <c r="R61" s="29">
        <v>1</v>
      </c>
    </row>
    <row r="62" spans="1:18">
      <c r="A62" s="127"/>
      <c r="B62" s="19" t="s">
        <v>58</v>
      </c>
      <c r="C62" s="50">
        <v>41465</v>
      </c>
      <c r="D62" s="50">
        <f>ბენეფიციარები!D51+ბენეფიციარები!F51+ბენეფიციარები!H51</f>
        <v>12204</v>
      </c>
      <c r="E62" s="31">
        <v>3</v>
      </c>
      <c r="F62" s="31">
        <v>1</v>
      </c>
      <c r="G62" s="31">
        <v>2</v>
      </c>
      <c r="H62" s="31">
        <f t="shared" si="0"/>
        <v>3</v>
      </c>
      <c r="I62" s="31"/>
      <c r="J62" s="31">
        <v>1</v>
      </c>
      <c r="M62" s="36">
        <f>C62/E62</f>
        <v>13821.666666666666</v>
      </c>
      <c r="N62" s="36">
        <f>C62/H62</f>
        <v>13821.666666666666</v>
      </c>
      <c r="O62" s="36">
        <f t="shared" si="12"/>
        <v>41465</v>
      </c>
      <c r="Q62" s="55">
        <f t="shared" ref="Q62:Q69" si="13">D62/$P$61</f>
        <v>0.50849999999999995</v>
      </c>
      <c r="R62" s="29">
        <v>1</v>
      </c>
    </row>
    <row r="63" spans="1:18">
      <c r="A63" s="127"/>
      <c r="B63" s="11" t="s">
        <v>59</v>
      </c>
      <c r="C63" s="50">
        <v>22341</v>
      </c>
      <c r="D63" s="50">
        <f>ბენეფიციარები!D46+ბენეფიციარები!F46+ბენეფიციარები!H46</f>
        <v>10722</v>
      </c>
      <c r="E63" s="31"/>
      <c r="F63" s="31"/>
      <c r="G63" s="31"/>
      <c r="H63" s="31"/>
      <c r="I63" s="31"/>
      <c r="J63" s="31">
        <v>1</v>
      </c>
      <c r="K63" s="1" t="s">
        <v>91</v>
      </c>
      <c r="O63" s="36">
        <f t="shared" si="12"/>
        <v>22341</v>
      </c>
      <c r="Q63" s="55">
        <f t="shared" si="13"/>
        <v>0.44674999999999998</v>
      </c>
      <c r="R63" s="29">
        <v>1</v>
      </c>
    </row>
    <row r="64" spans="1:18">
      <c r="A64" s="127"/>
      <c r="B64" s="11" t="s">
        <v>60</v>
      </c>
      <c r="C64" s="50">
        <v>39652</v>
      </c>
      <c r="D64" s="50">
        <f>ბენეფიციარები!D50+ბენეფიციარები!F50+ბენეფიციარები!H50</f>
        <v>18467</v>
      </c>
      <c r="E64" s="31">
        <v>1</v>
      </c>
      <c r="F64" s="31">
        <v>1</v>
      </c>
      <c r="G64" s="31">
        <v>1</v>
      </c>
      <c r="H64" s="31">
        <f t="shared" si="0"/>
        <v>2</v>
      </c>
      <c r="I64" s="31"/>
      <c r="J64" s="31">
        <v>1</v>
      </c>
      <c r="M64" s="36">
        <f>C64/E64</f>
        <v>39652</v>
      </c>
      <c r="N64" s="36">
        <f>C64/H64</f>
        <v>19826</v>
      </c>
      <c r="O64" s="36">
        <f t="shared" si="12"/>
        <v>39652</v>
      </c>
      <c r="Q64" s="55">
        <f t="shared" si="13"/>
        <v>0.76945833333333336</v>
      </c>
      <c r="R64" s="29">
        <v>1</v>
      </c>
    </row>
    <row r="65" spans="1:18" ht="25.5">
      <c r="A65" s="127"/>
      <c r="B65" s="11" t="s">
        <v>61</v>
      </c>
      <c r="C65" s="50">
        <v>22309</v>
      </c>
      <c r="D65" s="50">
        <f>ბენეფიციარები!D52+ბენეფიციარები!F52+ბენეფიციარები!H52</f>
        <v>9896</v>
      </c>
      <c r="E65" s="31">
        <v>1</v>
      </c>
      <c r="F65" s="31"/>
      <c r="G65" s="31"/>
      <c r="H65" s="31"/>
      <c r="I65" s="31"/>
      <c r="J65" s="31">
        <v>1</v>
      </c>
      <c r="K65" s="1" t="s">
        <v>91</v>
      </c>
      <c r="M65" s="36">
        <f>C65/E65</f>
        <v>22309</v>
      </c>
      <c r="O65" s="36">
        <f t="shared" si="12"/>
        <v>22309</v>
      </c>
      <c r="Q65" s="55">
        <f t="shared" si="13"/>
        <v>0.41233333333333333</v>
      </c>
      <c r="R65" s="29">
        <v>1</v>
      </c>
    </row>
    <row r="66" spans="1:18">
      <c r="A66" s="127"/>
      <c r="B66" s="11" t="s">
        <v>62</v>
      </c>
      <c r="C66" s="50">
        <v>30548</v>
      </c>
      <c r="D66" s="50">
        <f>ბენეფიციარები!D54+ბენეფიციარები!F54+ბენეფიციარები!H54</f>
        <v>11782</v>
      </c>
      <c r="E66" s="31"/>
      <c r="F66" s="31"/>
      <c r="G66" s="31">
        <v>1</v>
      </c>
      <c r="H66" s="31">
        <f t="shared" si="0"/>
        <v>1</v>
      </c>
      <c r="I66" s="31"/>
      <c r="J66" s="31">
        <v>1</v>
      </c>
      <c r="K66" s="1" t="s">
        <v>97</v>
      </c>
      <c r="N66" s="36">
        <f>C66/H66</f>
        <v>30548</v>
      </c>
      <c r="O66" s="36">
        <f t="shared" si="12"/>
        <v>30548</v>
      </c>
      <c r="Q66" s="55">
        <f t="shared" si="13"/>
        <v>0.49091666666666667</v>
      </c>
      <c r="R66" s="29">
        <v>1</v>
      </c>
    </row>
    <row r="67" spans="1:18" ht="12.75" customHeight="1">
      <c r="A67" s="127"/>
      <c r="B67" s="28" t="s">
        <v>63</v>
      </c>
      <c r="C67" s="50">
        <v>105509</v>
      </c>
      <c r="D67" s="50">
        <f>ბენეფიციარები!D47+ბენეფიციარები!F47+ბენეფიციარები!H47+ბენეფიციარები!H80</f>
        <v>98247</v>
      </c>
      <c r="E67" s="31">
        <v>5</v>
      </c>
      <c r="F67" s="31">
        <v>3</v>
      </c>
      <c r="G67" s="31">
        <v>2</v>
      </c>
      <c r="H67" s="31">
        <f t="shared" si="0"/>
        <v>5</v>
      </c>
      <c r="I67" s="31"/>
      <c r="J67" s="31">
        <v>1</v>
      </c>
      <c r="M67" s="36">
        <f>C67/E67</f>
        <v>21101.8</v>
      </c>
      <c r="N67" s="36">
        <f>C67/H67</f>
        <v>21101.8</v>
      </c>
      <c r="O67" s="36">
        <f t="shared" si="12"/>
        <v>105509</v>
      </c>
      <c r="Q67" s="55">
        <f t="shared" si="13"/>
        <v>4.0936250000000003</v>
      </c>
      <c r="R67" s="29">
        <v>4</v>
      </c>
    </row>
    <row r="68" spans="1:18">
      <c r="A68" s="127"/>
      <c r="B68" s="11" t="s">
        <v>64</v>
      </c>
      <c r="C68" s="50">
        <v>9316</v>
      </c>
      <c r="D68" s="50">
        <f>ბენეფიციარები!D49+ბენეფიციარები!F49+ბენეფიციარები!H49</f>
        <v>7301</v>
      </c>
      <c r="E68" s="31"/>
      <c r="F68" s="31"/>
      <c r="G68" s="31">
        <v>1</v>
      </c>
      <c r="H68" s="31">
        <f t="shared" ref="H68:H80" si="14">F68+G68</f>
        <v>1</v>
      </c>
      <c r="I68" s="31"/>
      <c r="J68" s="31"/>
      <c r="N68" s="36">
        <f>C68/H68</f>
        <v>9316</v>
      </c>
      <c r="Q68" s="55">
        <f t="shared" si="13"/>
        <v>0.30420833333333336</v>
      </c>
      <c r="R68" s="29">
        <v>1</v>
      </c>
    </row>
    <row r="69" spans="1:18" ht="26.25" thickBot="1">
      <c r="A69" s="128"/>
      <c r="B69" s="18" t="s">
        <v>65</v>
      </c>
      <c r="C69" s="50">
        <v>26158</v>
      </c>
      <c r="D69" s="50">
        <f>ბენეფიციარები!D53+ბენეფიციარები!F53+ბენეფიციარები!H53</f>
        <v>14728</v>
      </c>
      <c r="E69" s="31">
        <v>1</v>
      </c>
      <c r="F69" s="31"/>
      <c r="G69" s="31">
        <v>1</v>
      </c>
      <c r="H69" s="31">
        <f t="shared" si="14"/>
        <v>1</v>
      </c>
      <c r="I69" s="31"/>
      <c r="J69" s="31">
        <v>1</v>
      </c>
      <c r="K69" s="1" t="s">
        <v>96</v>
      </c>
      <c r="M69" s="36">
        <f>C69/E69</f>
        <v>26158</v>
      </c>
      <c r="N69" s="36">
        <f>C69/H69</f>
        <v>26158</v>
      </c>
      <c r="O69" s="36">
        <f>C69/J69</f>
        <v>26158</v>
      </c>
      <c r="Q69" s="55">
        <f t="shared" si="13"/>
        <v>0.61366666666666669</v>
      </c>
      <c r="R69" s="29">
        <v>1</v>
      </c>
    </row>
    <row r="70" spans="1:18" ht="15.75" thickBot="1">
      <c r="A70" s="22"/>
      <c r="B70" s="12"/>
      <c r="C70" s="51"/>
      <c r="D70" s="51"/>
      <c r="E70" s="51"/>
      <c r="F70" s="20"/>
      <c r="G70" s="20"/>
      <c r="H70" s="51"/>
      <c r="I70" s="20"/>
      <c r="J70" s="20"/>
    </row>
    <row r="71" spans="1:18" ht="25.5">
      <c r="A71" s="126" t="s">
        <v>66</v>
      </c>
      <c r="B71" s="17" t="s">
        <v>67</v>
      </c>
      <c r="C71" s="50">
        <v>62863</v>
      </c>
      <c r="D71" s="50">
        <f>ბენეფიციარები!D11+ბენეფიციარები!F11+ბენეფიციარები!H11+ბენეფიციარები!D12+ბენეფიციარები!F12+ბენეფიციარები!H12</f>
        <v>28303</v>
      </c>
      <c r="E71" s="31">
        <v>2</v>
      </c>
      <c r="F71" s="31">
        <v>1</v>
      </c>
      <c r="G71" s="31"/>
      <c r="H71" s="31">
        <f t="shared" si="14"/>
        <v>1</v>
      </c>
      <c r="I71" s="31">
        <v>5</v>
      </c>
      <c r="J71" s="31">
        <v>1</v>
      </c>
      <c r="M71" s="36">
        <f>C71/E71</f>
        <v>31431.5</v>
      </c>
      <c r="N71" s="36">
        <f>C71/H71</f>
        <v>62863</v>
      </c>
      <c r="O71" s="36">
        <f>C71/J71</f>
        <v>62863</v>
      </c>
      <c r="P71" s="1">
        <v>33000</v>
      </c>
      <c r="Q71" s="55">
        <f>D71/$P$71</f>
        <v>0.85766666666666669</v>
      </c>
      <c r="R71" s="29">
        <v>1</v>
      </c>
    </row>
    <row r="72" spans="1:18" ht="25.5">
      <c r="A72" s="127"/>
      <c r="B72" s="11" t="s">
        <v>68</v>
      </c>
      <c r="C72" s="50">
        <v>19001</v>
      </c>
      <c r="D72" s="50">
        <f>ბენეფიციარები!D13+ბენეფიციარები!F13+ბენეფიციარები!H13</f>
        <v>11126</v>
      </c>
      <c r="E72" s="31">
        <v>2</v>
      </c>
      <c r="F72" s="31"/>
      <c r="G72" s="31"/>
      <c r="H72" s="31"/>
      <c r="I72" s="31">
        <v>1</v>
      </c>
      <c r="J72" s="31">
        <v>1</v>
      </c>
      <c r="K72" s="1" t="s">
        <v>95</v>
      </c>
      <c r="M72" s="36">
        <f>C72/E72</f>
        <v>9500.5</v>
      </c>
      <c r="O72" s="36">
        <f>C72/J72</f>
        <v>19001</v>
      </c>
      <c r="Q72" s="55">
        <f t="shared" ref="Q72:Q73" si="15">D72/$P$71</f>
        <v>0.33715151515151515</v>
      </c>
      <c r="R72" s="29">
        <v>1</v>
      </c>
    </row>
    <row r="73" spans="1:18" ht="26.25" thickBot="1">
      <c r="A73" s="128"/>
      <c r="B73" s="18" t="s">
        <v>69</v>
      </c>
      <c r="C73" s="50">
        <v>31486</v>
      </c>
      <c r="D73" s="50">
        <f>ბენეფიციარები!D10+ბენეფიციარები!F10+ბენეფიციარები!H10</f>
        <v>16120</v>
      </c>
      <c r="E73" s="31">
        <v>1</v>
      </c>
      <c r="F73" s="31"/>
      <c r="G73" s="31">
        <v>1</v>
      </c>
      <c r="H73" s="31">
        <f t="shared" si="14"/>
        <v>1</v>
      </c>
      <c r="I73" s="31">
        <v>1</v>
      </c>
      <c r="J73" s="31">
        <v>1</v>
      </c>
      <c r="M73" s="36">
        <f>C73/E73</f>
        <v>31486</v>
      </c>
      <c r="N73" s="36">
        <f>C73/H73</f>
        <v>31486</v>
      </c>
      <c r="O73" s="36">
        <f>C73/J73</f>
        <v>31486</v>
      </c>
      <c r="Q73" s="55">
        <f t="shared" si="15"/>
        <v>0.48848484848484847</v>
      </c>
      <c r="R73" s="29">
        <v>1</v>
      </c>
    </row>
    <row r="74" spans="1:18" ht="13.5" thickBot="1">
      <c r="A74" s="22"/>
      <c r="B74" s="16"/>
      <c r="C74" s="52"/>
      <c r="D74" s="52"/>
      <c r="E74" s="52"/>
      <c r="F74" s="52"/>
      <c r="G74" s="52"/>
      <c r="H74" s="52"/>
      <c r="I74" s="52"/>
      <c r="J74" s="52"/>
    </row>
    <row r="75" spans="1:18" ht="30.75" customHeight="1">
      <c r="A75" s="126" t="s">
        <v>70</v>
      </c>
      <c r="B75" s="25" t="s">
        <v>71</v>
      </c>
      <c r="C75" s="50">
        <v>152839</v>
      </c>
      <c r="D75" s="50">
        <f>ბენეფიციარები!D74+ბენეფიციარები!F74+ბენეფიციარები!H74</f>
        <v>44019</v>
      </c>
      <c r="E75" s="31">
        <v>12</v>
      </c>
      <c r="F75" s="31">
        <v>7</v>
      </c>
      <c r="G75" s="31">
        <v>4</v>
      </c>
      <c r="H75" s="31">
        <f t="shared" si="14"/>
        <v>11</v>
      </c>
      <c r="I75" s="31">
        <v>15</v>
      </c>
      <c r="J75" s="31">
        <v>2</v>
      </c>
      <c r="M75" s="36">
        <f>C75/E75</f>
        <v>12736.583333333334</v>
      </c>
      <c r="N75" s="36">
        <f>C75/H75</f>
        <v>13894.454545454546</v>
      </c>
      <c r="O75" s="36">
        <f t="shared" ref="O75:O80" si="16">C75/J75</f>
        <v>76419.5</v>
      </c>
      <c r="P75" s="1">
        <v>23500</v>
      </c>
      <c r="Q75" s="55">
        <f>D75/$P$75</f>
        <v>1.8731489361702127</v>
      </c>
      <c r="R75" s="29">
        <v>2</v>
      </c>
    </row>
    <row r="76" spans="1:18">
      <c r="A76" s="127"/>
      <c r="B76" s="11" t="s">
        <v>72</v>
      </c>
      <c r="C76" s="50">
        <v>16760</v>
      </c>
      <c r="D76" s="50">
        <f>ბენეფიციარები!D75+ბენეფიციარები!F75+ბენეფიციარები!H75</f>
        <v>10205</v>
      </c>
      <c r="E76" s="31"/>
      <c r="F76" s="31"/>
      <c r="G76" s="31">
        <v>1</v>
      </c>
      <c r="H76" s="31">
        <f t="shared" si="14"/>
        <v>1</v>
      </c>
      <c r="I76" s="31"/>
      <c r="J76" s="31">
        <v>1</v>
      </c>
      <c r="K76" s="1" t="s">
        <v>93</v>
      </c>
      <c r="N76" s="36">
        <f>C76/H76</f>
        <v>16760</v>
      </c>
      <c r="O76" s="36">
        <f t="shared" si="16"/>
        <v>16760</v>
      </c>
      <c r="Q76" s="55">
        <f t="shared" ref="Q76:Q80" si="17">D76/$P$75</f>
        <v>0.43425531914893617</v>
      </c>
      <c r="R76" s="29">
        <v>1</v>
      </c>
    </row>
    <row r="77" spans="1:18" ht="12.75" customHeight="1">
      <c r="A77" s="127"/>
      <c r="B77" s="3" t="s">
        <v>73</v>
      </c>
      <c r="C77" s="50">
        <v>74794</v>
      </c>
      <c r="D77" s="50">
        <f>ბენეფიციარები!D76+ბენეფიციარები!F76+ბენეფიციარები!H76</f>
        <v>26013</v>
      </c>
      <c r="E77" s="31">
        <v>2</v>
      </c>
      <c r="F77" s="31"/>
      <c r="G77" s="31">
        <v>2</v>
      </c>
      <c r="H77" s="31">
        <f t="shared" si="14"/>
        <v>2</v>
      </c>
      <c r="I77" s="31">
        <v>2</v>
      </c>
      <c r="J77" s="31">
        <v>1</v>
      </c>
      <c r="M77" s="36">
        <f>C77/E77</f>
        <v>37397</v>
      </c>
      <c r="N77" s="36">
        <f>C77/H77</f>
        <v>37397</v>
      </c>
      <c r="O77" s="36">
        <f t="shared" si="16"/>
        <v>74794</v>
      </c>
      <c r="Q77" s="55">
        <f t="shared" si="17"/>
        <v>1.106936170212766</v>
      </c>
      <c r="R77" s="29">
        <v>2</v>
      </c>
    </row>
    <row r="78" spans="1:18">
      <c r="A78" s="127"/>
      <c r="B78" s="11" t="s">
        <v>74</v>
      </c>
      <c r="C78" s="50">
        <v>15044</v>
      </c>
      <c r="D78" s="50">
        <f>ბენეფიციარები!D77+ბენეფიციარები!F77+ბენეფიციარები!H77</f>
        <v>9149</v>
      </c>
      <c r="E78" s="31"/>
      <c r="F78" s="31"/>
      <c r="G78" s="31"/>
      <c r="H78" s="31"/>
      <c r="I78" s="31"/>
      <c r="J78" s="31">
        <v>1</v>
      </c>
      <c r="O78" s="36">
        <f t="shared" si="16"/>
        <v>15044</v>
      </c>
      <c r="Q78" s="55">
        <f t="shared" si="17"/>
        <v>0.3893191489361702</v>
      </c>
      <c r="R78" s="29">
        <v>1</v>
      </c>
    </row>
    <row r="79" spans="1:18" ht="25.5">
      <c r="A79" s="127"/>
      <c r="B79" s="11" t="s">
        <v>75</v>
      </c>
      <c r="C79" s="50">
        <v>51189</v>
      </c>
      <c r="D79" s="50">
        <f>ბენეფიციარები!D78+ბენეფიციარები!F78+ბენეფიციარები!H78</f>
        <v>15817</v>
      </c>
      <c r="E79" s="31"/>
      <c r="F79" s="31"/>
      <c r="G79" s="31"/>
      <c r="H79" s="31"/>
      <c r="I79" s="31"/>
      <c r="J79" s="31">
        <v>1</v>
      </c>
      <c r="K79" s="1" t="s">
        <v>91</v>
      </c>
      <c r="O79" s="36">
        <f t="shared" si="16"/>
        <v>51189</v>
      </c>
      <c r="Q79" s="55">
        <f t="shared" si="17"/>
        <v>0.673063829787234</v>
      </c>
      <c r="R79" s="29">
        <v>1</v>
      </c>
    </row>
    <row r="80" spans="1:18" ht="15.75" thickBot="1">
      <c r="A80" s="128"/>
      <c r="B80" s="18" t="s">
        <v>76</v>
      </c>
      <c r="C80" s="50">
        <v>23327</v>
      </c>
      <c r="D80" s="50">
        <f>ბენეფიციარები!D79+ბენეფიციარები!F79+ბენეფიციარები!H79</f>
        <v>15345</v>
      </c>
      <c r="E80" s="31"/>
      <c r="F80" s="31"/>
      <c r="G80" s="31">
        <v>1</v>
      </c>
      <c r="H80" s="31">
        <f t="shared" si="14"/>
        <v>1</v>
      </c>
      <c r="I80" s="31"/>
      <c r="J80" s="31">
        <v>1</v>
      </c>
      <c r="K80" s="1" t="s">
        <v>92</v>
      </c>
      <c r="N80" s="36">
        <f>C80/H80</f>
        <v>23327</v>
      </c>
      <c r="O80" s="36">
        <f t="shared" si="16"/>
        <v>23327</v>
      </c>
      <c r="Q80" s="55">
        <f t="shared" si="17"/>
        <v>0.65297872340425533</v>
      </c>
      <c r="R80" s="29">
        <v>1</v>
      </c>
    </row>
    <row r="81" spans="1:18">
      <c r="A81" s="117"/>
      <c r="B81" s="118"/>
      <c r="C81" s="119"/>
      <c r="D81" s="119"/>
      <c r="E81" s="121"/>
      <c r="F81" s="121"/>
      <c r="G81" s="121"/>
      <c r="H81" s="121"/>
      <c r="I81" s="121"/>
      <c r="J81" s="121"/>
      <c r="Q81" s="55"/>
    </row>
    <row r="82" spans="1:18">
      <c r="C82" s="53">
        <f>SUM(C3:C80)</f>
        <v>3731756</v>
      </c>
      <c r="D82" s="54">
        <f>SUM(D3:D80)</f>
        <v>1529915</v>
      </c>
      <c r="E82" s="29">
        <f>SUM(E3:E80)</f>
        <v>221</v>
      </c>
      <c r="F82" s="29">
        <f t="shared" ref="F82:J82" si="18">SUM(F3:F80)</f>
        <v>101</v>
      </c>
      <c r="G82" s="29">
        <f t="shared" si="18"/>
        <v>138</v>
      </c>
      <c r="H82" s="29">
        <f t="shared" si="18"/>
        <v>239</v>
      </c>
      <c r="I82" s="29">
        <f t="shared" si="18"/>
        <v>223</v>
      </c>
      <c r="J82" s="58">
        <f t="shared" si="18"/>
        <v>84</v>
      </c>
      <c r="R82" s="58">
        <f>SUM(R3:R80)</f>
        <v>108</v>
      </c>
    </row>
    <row r="86" spans="1:18" ht="12.75">
      <c r="A86" s="24"/>
      <c r="B86" s="8"/>
      <c r="C86" s="35"/>
      <c r="D86" s="36"/>
    </row>
  </sheetData>
  <mergeCells count="13">
    <mergeCell ref="M2:N2"/>
    <mergeCell ref="A3:A7"/>
    <mergeCell ref="A9:A15"/>
    <mergeCell ref="A22:A27"/>
    <mergeCell ref="A56:A59"/>
    <mergeCell ref="A17:A20"/>
    <mergeCell ref="A1:C1"/>
    <mergeCell ref="A71:A73"/>
    <mergeCell ref="A61:A69"/>
    <mergeCell ref="A75:A80"/>
    <mergeCell ref="A29:A32"/>
    <mergeCell ref="A34:A41"/>
    <mergeCell ref="A43:A5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4"/>
  <sheetViews>
    <sheetView topLeftCell="A7" workbookViewId="0">
      <selection activeCell="R47" sqref="R47"/>
    </sheetView>
  </sheetViews>
  <sheetFormatPr defaultRowHeight="9"/>
  <cols>
    <col min="1" max="1" width="2.85546875" style="170" customWidth="1"/>
    <col min="2" max="2" width="8.7109375" style="233" customWidth="1"/>
    <col min="3" max="3" width="8.28515625" style="233" customWidth="1"/>
    <col min="4" max="4" width="10" style="233" customWidth="1"/>
    <col min="5" max="5" width="10.28515625" style="233" customWidth="1"/>
    <col min="6" max="6" width="7.42578125" style="233" customWidth="1"/>
    <col min="7" max="7" width="7.5703125" style="234" customWidth="1"/>
    <col min="8" max="8" width="7.28515625" style="233" hidden="1" customWidth="1"/>
    <col min="9" max="9" width="6" style="233" hidden="1" customWidth="1"/>
    <col min="10" max="11" width="8" style="233" hidden="1" customWidth="1"/>
    <col min="12" max="12" width="7.85546875" style="233" hidden="1" customWidth="1"/>
    <col min="13" max="17" width="9.5703125" style="237" customWidth="1"/>
    <col min="18" max="18" width="12" style="237" customWidth="1"/>
    <col min="19" max="19" width="7.42578125" style="233" customWidth="1"/>
    <col min="20" max="20" width="12.42578125" style="233" customWidth="1"/>
    <col min="21" max="21" width="9.85546875" style="237" customWidth="1"/>
    <col min="22" max="22" width="8.140625" style="238" customWidth="1"/>
    <col min="23" max="23" width="8" style="233" customWidth="1"/>
    <col min="24" max="24" width="15.28515625" style="170" customWidth="1"/>
    <col min="25" max="25" width="13.140625" style="170" customWidth="1"/>
    <col min="26" max="16384" width="9.140625" style="170"/>
  </cols>
  <sheetData>
    <row r="1" spans="1:25" ht="230.25">
      <c r="A1" s="159" t="s">
        <v>101</v>
      </c>
      <c r="B1" s="160" t="s">
        <v>102</v>
      </c>
      <c r="C1" s="160" t="s">
        <v>103</v>
      </c>
      <c r="D1" s="161" t="s">
        <v>104</v>
      </c>
      <c r="E1" s="161" t="s">
        <v>105</v>
      </c>
      <c r="F1" s="162" t="s">
        <v>106</v>
      </c>
      <c r="G1" s="162" t="s">
        <v>107</v>
      </c>
      <c r="H1" s="162" t="s">
        <v>108</v>
      </c>
      <c r="I1" s="162" t="s">
        <v>109</v>
      </c>
      <c r="J1" s="163" t="s">
        <v>110</v>
      </c>
      <c r="K1" s="163" t="s">
        <v>111</v>
      </c>
      <c r="L1" s="163" t="s">
        <v>112</v>
      </c>
      <c r="M1" s="164" t="s">
        <v>113</v>
      </c>
      <c r="N1" s="165" t="s">
        <v>308</v>
      </c>
      <c r="O1" s="165" t="s">
        <v>343</v>
      </c>
      <c r="P1" s="165" t="s">
        <v>346</v>
      </c>
      <c r="Q1" s="165" t="s">
        <v>347</v>
      </c>
      <c r="R1" s="165" t="s">
        <v>348</v>
      </c>
      <c r="S1" s="166" t="s">
        <v>114</v>
      </c>
      <c r="T1" s="167" t="s">
        <v>309</v>
      </c>
      <c r="U1" s="168" t="s">
        <v>310</v>
      </c>
      <c r="V1" s="169" t="s">
        <v>115</v>
      </c>
      <c r="W1" s="167" t="s">
        <v>311</v>
      </c>
      <c r="X1" s="163" t="s">
        <v>312</v>
      </c>
      <c r="Y1" s="167" t="s">
        <v>313</v>
      </c>
    </row>
    <row r="2" spans="1:25">
      <c r="A2" s="159"/>
      <c r="B2" s="160"/>
      <c r="C2" s="160"/>
      <c r="D2" s="161"/>
      <c r="E2" s="161"/>
      <c r="F2" s="162"/>
      <c r="G2" s="162"/>
      <c r="H2" s="162"/>
      <c r="I2" s="162"/>
      <c r="J2" s="163"/>
      <c r="K2" s="163"/>
      <c r="L2" s="163"/>
      <c r="M2" s="164"/>
      <c r="N2" s="165"/>
      <c r="O2" s="165"/>
      <c r="P2" s="253">
        <v>1200</v>
      </c>
      <c r="Q2" s="253">
        <v>10</v>
      </c>
      <c r="R2" s="165"/>
      <c r="S2" s="166"/>
      <c r="T2" s="167"/>
      <c r="U2" s="168"/>
      <c r="V2" s="169"/>
      <c r="W2" s="167"/>
      <c r="X2" s="163"/>
      <c r="Y2" s="167"/>
    </row>
    <row r="3" spans="1:25" ht="112.5" customHeight="1">
      <c r="A3" s="171">
        <v>1</v>
      </c>
      <c r="B3" s="172" t="s">
        <v>116</v>
      </c>
      <c r="C3" s="172" t="s">
        <v>116</v>
      </c>
      <c r="D3" s="173">
        <v>7600</v>
      </c>
      <c r="E3" s="174">
        <v>136561</v>
      </c>
      <c r="F3" s="175">
        <v>94850</v>
      </c>
      <c r="G3" s="176">
        <f>(K3+L3+M3)/3</f>
        <v>82978.333333333328</v>
      </c>
      <c r="H3" s="177">
        <f>D3/F3</f>
        <v>8.012651555086979E-2</v>
      </c>
      <c r="I3" s="177">
        <f>E3/G3</f>
        <v>1.6457428646032097</v>
      </c>
      <c r="J3" s="178">
        <v>78158</v>
      </c>
      <c r="K3" s="178">
        <v>87342</v>
      </c>
      <c r="L3" s="178">
        <v>85341</v>
      </c>
      <c r="M3" s="178">
        <v>76252</v>
      </c>
      <c r="N3" s="179">
        <v>823</v>
      </c>
      <c r="O3" s="179">
        <f>M3/N3</f>
        <v>92.651275820170113</v>
      </c>
      <c r="P3" s="179">
        <f>O3*$P$2</f>
        <v>111181.53098420413</v>
      </c>
      <c r="Q3" s="179">
        <f>P3*$Q$2</f>
        <v>1111815.3098420412</v>
      </c>
      <c r="R3" s="179">
        <f>Q3*V3</f>
        <v>65041.195625759414</v>
      </c>
      <c r="S3" s="180">
        <f>G3*12</f>
        <v>995740</v>
      </c>
      <c r="T3" s="181">
        <f>G3*(12-I3)</f>
        <v>859178.99999999988</v>
      </c>
      <c r="U3" s="168">
        <v>790540</v>
      </c>
      <c r="V3" s="182">
        <v>5.8500000000000003E-2</v>
      </c>
      <c r="W3" s="183">
        <f>U3*V3</f>
        <v>46246.590000000004</v>
      </c>
      <c r="X3" s="167" t="s">
        <v>314</v>
      </c>
      <c r="Y3" s="167" t="s">
        <v>315</v>
      </c>
    </row>
    <row r="4" spans="1:25" ht="109.5" customHeight="1">
      <c r="A4" s="171"/>
      <c r="B4" s="184" t="s">
        <v>117</v>
      </c>
      <c r="C4" s="184" t="s">
        <v>118</v>
      </c>
      <c r="D4" s="173">
        <v>991051</v>
      </c>
      <c r="E4" s="174">
        <v>1368958</v>
      </c>
      <c r="F4" s="175">
        <v>135500</v>
      </c>
      <c r="G4" s="176">
        <f t="shared" ref="G4:G35" si="0">(K4+L4+M4)/3</f>
        <v>136454.66666666666</v>
      </c>
      <c r="H4" s="177">
        <f t="shared" ref="H4:I43" si="1">D4/F4</f>
        <v>7.314029520295203</v>
      </c>
      <c r="I4" s="177">
        <f t="shared" si="1"/>
        <v>10.03232819691033</v>
      </c>
      <c r="J4" s="178">
        <v>143245</v>
      </c>
      <c r="K4" s="178">
        <v>136922</v>
      </c>
      <c r="L4" s="178">
        <v>138365</v>
      </c>
      <c r="M4" s="178">
        <v>134077</v>
      </c>
      <c r="N4" s="179">
        <v>1641</v>
      </c>
      <c r="O4" s="179">
        <f t="shared" ref="O4:O43" si="2">M4/N4</f>
        <v>81.704448507007925</v>
      </c>
      <c r="P4" s="179">
        <f t="shared" ref="P4:P44" si="3">O4*$P$2</f>
        <v>98045.338208409506</v>
      </c>
      <c r="Q4" s="179">
        <f t="shared" ref="Q4:Q44" si="4">P4*$Q$2</f>
        <v>980453.38208409504</v>
      </c>
      <c r="R4" s="179">
        <f t="shared" ref="R4:R44" si="5">Q4*V4</f>
        <v>63239.24314442413</v>
      </c>
      <c r="S4" s="180">
        <f t="shared" ref="S4:S43" si="6">G4*12</f>
        <v>1637456</v>
      </c>
      <c r="T4" s="167" t="s">
        <v>316</v>
      </c>
      <c r="U4" s="168"/>
      <c r="V4" s="185">
        <v>6.4500000000000002E-2</v>
      </c>
      <c r="W4" s="183"/>
      <c r="X4" s="167" t="s">
        <v>317</v>
      </c>
      <c r="Y4" s="186"/>
    </row>
    <row r="5" spans="1:25" ht="144" customHeight="1">
      <c r="A5" s="187">
        <v>2</v>
      </c>
      <c r="B5" s="184" t="s">
        <v>119</v>
      </c>
      <c r="C5" s="184" t="s">
        <v>120</v>
      </c>
      <c r="D5" s="173">
        <f>90</f>
        <v>90</v>
      </c>
      <c r="E5" s="174">
        <v>157482</v>
      </c>
      <c r="F5" s="175">
        <v>166434</v>
      </c>
      <c r="G5" s="176">
        <f t="shared" si="0"/>
        <v>121365</v>
      </c>
      <c r="H5" s="177">
        <f t="shared" si="1"/>
        <v>5.4075489383178914E-4</v>
      </c>
      <c r="I5" s="177">
        <f t="shared" si="1"/>
        <v>1.2975899147200594</v>
      </c>
      <c r="J5" s="178">
        <v>134239</v>
      </c>
      <c r="K5" s="188">
        <v>126690</v>
      </c>
      <c r="L5" s="188">
        <v>118049</v>
      </c>
      <c r="M5" s="188">
        <f>2143+6105+111108</f>
        <v>119356</v>
      </c>
      <c r="N5" s="189">
        <v>1798</v>
      </c>
      <c r="O5" s="179">
        <f t="shared" si="2"/>
        <v>66.382647385984427</v>
      </c>
      <c r="P5" s="179">
        <f t="shared" si="3"/>
        <v>79659.176863181317</v>
      </c>
      <c r="Q5" s="179">
        <f t="shared" si="4"/>
        <v>796591.76863181312</v>
      </c>
      <c r="R5" s="179">
        <f t="shared" si="5"/>
        <v>173975.64226918799</v>
      </c>
      <c r="S5" s="180">
        <f t="shared" si="6"/>
        <v>1456380</v>
      </c>
      <c r="T5" s="181">
        <f>G5*(12-I5)</f>
        <v>1298898</v>
      </c>
      <c r="U5" s="168">
        <f>44252*28</f>
        <v>1239056</v>
      </c>
      <c r="V5" s="190">
        <v>0.21840000000000001</v>
      </c>
      <c r="W5" s="183">
        <f>U5*V5</f>
        <v>270609.83040000004</v>
      </c>
      <c r="X5" s="167" t="s">
        <v>318</v>
      </c>
      <c r="Y5" s="167" t="s">
        <v>315</v>
      </c>
    </row>
    <row r="6" spans="1:25" ht="98.25" customHeight="1">
      <c r="A6" s="187">
        <v>3</v>
      </c>
      <c r="B6" s="184" t="s">
        <v>121</v>
      </c>
      <c r="C6" s="184" t="s">
        <v>121</v>
      </c>
      <c r="D6" s="173">
        <v>1456744</v>
      </c>
      <c r="E6" s="174">
        <v>1918229</v>
      </c>
      <c r="F6" s="175">
        <v>232900</v>
      </c>
      <c r="G6" s="176">
        <f t="shared" si="0"/>
        <v>229417</v>
      </c>
      <c r="H6" s="177">
        <f t="shared" si="1"/>
        <v>6.2548046371833408</v>
      </c>
      <c r="I6" s="177">
        <f t="shared" si="1"/>
        <v>8.36132021602584</v>
      </c>
      <c r="J6" s="178">
        <v>224504</v>
      </c>
      <c r="K6" s="178">
        <v>225507</v>
      </c>
      <c r="L6" s="178">
        <v>231313</v>
      </c>
      <c r="M6" s="178">
        <v>231431</v>
      </c>
      <c r="N6" s="179">
        <v>2357</v>
      </c>
      <c r="O6" s="179">
        <f t="shared" si="2"/>
        <v>98.188799321170976</v>
      </c>
      <c r="P6" s="179">
        <f t="shared" si="3"/>
        <v>117826.55918540517</v>
      </c>
      <c r="Q6" s="179">
        <f t="shared" si="4"/>
        <v>1178265.5918540517</v>
      </c>
      <c r="R6" s="179">
        <f t="shared" si="5"/>
        <v>48308.889266016122</v>
      </c>
      <c r="S6" s="180">
        <f t="shared" si="6"/>
        <v>2753004</v>
      </c>
      <c r="T6" s="167" t="s">
        <v>316</v>
      </c>
      <c r="U6" s="168"/>
      <c r="V6" s="191">
        <v>4.1000000000000002E-2</v>
      </c>
      <c r="W6" s="183"/>
      <c r="X6" s="167" t="s">
        <v>319</v>
      </c>
      <c r="Y6" s="186"/>
    </row>
    <row r="7" spans="1:25" ht="152.25" customHeight="1">
      <c r="A7" s="187">
        <v>4</v>
      </c>
      <c r="B7" s="184" t="s">
        <v>122</v>
      </c>
      <c r="C7" s="184" t="s">
        <v>123</v>
      </c>
      <c r="D7" s="173">
        <v>360</v>
      </c>
      <c r="E7" s="174">
        <v>104134</v>
      </c>
      <c r="F7" s="175">
        <v>86340</v>
      </c>
      <c r="G7" s="176">
        <f t="shared" si="0"/>
        <v>70762.333333333328</v>
      </c>
      <c r="H7" s="177">
        <f t="shared" si="1"/>
        <v>4.1695621959694229E-3</v>
      </c>
      <c r="I7" s="177">
        <f t="shared" si="1"/>
        <v>1.4716021235403016</v>
      </c>
      <c r="J7" s="178">
        <v>72170</v>
      </c>
      <c r="K7" s="178">
        <v>70440</v>
      </c>
      <c r="L7" s="178">
        <v>70692</v>
      </c>
      <c r="M7" s="178">
        <v>71155</v>
      </c>
      <c r="N7" s="179">
        <v>1306</v>
      </c>
      <c r="O7" s="179">
        <f t="shared" si="2"/>
        <v>54.48315467075038</v>
      </c>
      <c r="P7" s="179">
        <f t="shared" si="3"/>
        <v>65379.785604900455</v>
      </c>
      <c r="Q7" s="179">
        <f t="shared" si="4"/>
        <v>653797.85604900459</v>
      </c>
      <c r="R7" s="179">
        <f t="shared" si="5"/>
        <v>31055.398162327718</v>
      </c>
      <c r="S7" s="180">
        <f t="shared" si="6"/>
        <v>849148</v>
      </c>
      <c r="T7" s="192">
        <f>G7*(12-I7)</f>
        <v>745013.99999999988</v>
      </c>
      <c r="U7" s="168">
        <v>677880</v>
      </c>
      <c r="V7" s="191">
        <v>4.7500000000000001E-2</v>
      </c>
      <c r="W7" s="183">
        <f>U7*V7</f>
        <v>32199.3</v>
      </c>
      <c r="X7" s="167" t="s">
        <v>320</v>
      </c>
      <c r="Y7" s="167" t="s">
        <v>315</v>
      </c>
    </row>
    <row r="8" spans="1:25" ht="64.5" customHeight="1">
      <c r="A8" s="187">
        <v>5</v>
      </c>
      <c r="B8" s="172" t="s">
        <v>124</v>
      </c>
      <c r="C8" s="184" t="s">
        <v>125</v>
      </c>
      <c r="D8" s="173">
        <v>469375</v>
      </c>
      <c r="E8" s="174">
        <v>634012</v>
      </c>
      <c r="F8" s="175">
        <v>31200</v>
      </c>
      <c r="G8" s="176">
        <f t="shared" si="0"/>
        <v>37575</v>
      </c>
      <c r="H8" s="177">
        <f t="shared" si="1"/>
        <v>15.044070512820513</v>
      </c>
      <c r="I8" s="177">
        <f t="shared" si="1"/>
        <v>16.87324018629408</v>
      </c>
      <c r="J8" s="178">
        <v>38322</v>
      </c>
      <c r="K8" s="178">
        <v>37128</v>
      </c>
      <c r="L8" s="178">
        <v>38507</v>
      </c>
      <c r="M8" s="178">
        <v>37090</v>
      </c>
      <c r="N8" s="179">
        <v>523</v>
      </c>
      <c r="O8" s="179">
        <f t="shared" si="2"/>
        <v>70.917782026768649</v>
      </c>
      <c r="P8" s="179">
        <f t="shared" si="3"/>
        <v>85101.338432122371</v>
      </c>
      <c r="Q8" s="179">
        <f t="shared" si="4"/>
        <v>851013.38432122371</v>
      </c>
      <c r="R8" s="179">
        <f t="shared" si="5"/>
        <v>88042.355586998092</v>
      </c>
      <c r="S8" s="180">
        <f t="shared" si="6"/>
        <v>450900</v>
      </c>
      <c r="T8" s="167" t="s">
        <v>316</v>
      </c>
      <c r="U8" s="168"/>
      <c r="V8" s="193">
        <v>0.1034559</v>
      </c>
      <c r="W8" s="183"/>
      <c r="X8" s="167" t="s">
        <v>321</v>
      </c>
      <c r="Y8" s="186"/>
    </row>
    <row r="9" spans="1:25" ht="96.75" customHeight="1">
      <c r="A9" s="187">
        <v>6</v>
      </c>
      <c r="B9" s="184" t="s">
        <v>126</v>
      </c>
      <c r="C9" s="184" t="s">
        <v>127</v>
      </c>
      <c r="D9" s="173">
        <v>1320</v>
      </c>
      <c r="E9" s="174">
        <v>54660</v>
      </c>
      <c r="F9" s="175">
        <v>7740</v>
      </c>
      <c r="G9" s="176">
        <f t="shared" si="0"/>
        <v>9755.6666666666661</v>
      </c>
      <c r="H9" s="177">
        <f t="shared" si="1"/>
        <v>0.17054263565891473</v>
      </c>
      <c r="I9" s="177">
        <f t="shared" si="1"/>
        <v>5.6028974613045417</v>
      </c>
      <c r="J9" s="178">
        <v>7780</v>
      </c>
      <c r="K9" s="178">
        <v>9107</v>
      </c>
      <c r="L9" s="178">
        <v>9951</v>
      </c>
      <c r="M9" s="178">
        <v>10209</v>
      </c>
      <c r="N9" s="179">
        <v>151</v>
      </c>
      <c r="O9" s="179">
        <f t="shared" si="2"/>
        <v>67.609271523178805</v>
      </c>
      <c r="P9" s="179">
        <f t="shared" si="3"/>
        <v>81131.125827814569</v>
      </c>
      <c r="Q9" s="179">
        <f t="shared" si="4"/>
        <v>811311.25827814569</v>
      </c>
      <c r="R9" s="179">
        <f t="shared" si="5"/>
        <v>152526.51655629138</v>
      </c>
      <c r="S9" s="180">
        <f t="shared" si="6"/>
        <v>117068</v>
      </c>
      <c r="T9" s="181">
        <f>G9*(12-I9)</f>
        <v>62407.999999999985</v>
      </c>
      <c r="U9" s="168">
        <v>42480</v>
      </c>
      <c r="V9" s="191">
        <v>0.188</v>
      </c>
      <c r="W9" s="183">
        <f>V9*U9</f>
        <v>7986.24</v>
      </c>
      <c r="X9" s="167" t="s">
        <v>322</v>
      </c>
      <c r="Y9" s="167" t="s">
        <v>315</v>
      </c>
    </row>
    <row r="10" spans="1:25" ht="93" customHeight="1">
      <c r="A10" s="187">
        <v>7</v>
      </c>
      <c r="B10" s="184" t="s">
        <v>128</v>
      </c>
      <c r="C10" s="184" t="s">
        <v>129</v>
      </c>
      <c r="D10" s="173">
        <v>1490328</v>
      </c>
      <c r="E10" s="174">
        <v>1894094</v>
      </c>
      <c r="F10" s="175">
        <v>60600</v>
      </c>
      <c r="G10" s="176">
        <f t="shared" si="0"/>
        <v>72182.333333333328</v>
      </c>
      <c r="H10" s="177">
        <f t="shared" si="1"/>
        <v>24.592871287128713</v>
      </c>
      <c r="I10" s="177">
        <f t="shared" si="1"/>
        <v>26.240409703205312</v>
      </c>
      <c r="J10" s="188">
        <v>68970</v>
      </c>
      <c r="K10" s="188">
        <v>67708</v>
      </c>
      <c r="L10" s="188">
        <v>74700</v>
      </c>
      <c r="M10" s="188">
        <v>74139</v>
      </c>
      <c r="N10" s="179">
        <v>783</v>
      </c>
      <c r="O10" s="179">
        <f t="shared" si="2"/>
        <v>94.685823754789268</v>
      </c>
      <c r="P10" s="179">
        <f t="shared" si="3"/>
        <v>113622.98850574713</v>
      </c>
      <c r="Q10" s="179">
        <f t="shared" si="4"/>
        <v>1136229.8850574712</v>
      </c>
      <c r="R10" s="179">
        <f t="shared" si="5"/>
        <v>74991.172413793101</v>
      </c>
      <c r="S10" s="180">
        <f t="shared" si="6"/>
        <v>866188</v>
      </c>
      <c r="T10" s="167" t="s">
        <v>316</v>
      </c>
      <c r="U10" s="168"/>
      <c r="V10" s="191">
        <v>6.6000000000000003E-2</v>
      </c>
      <c r="W10" s="183"/>
      <c r="X10" s="167" t="s">
        <v>317</v>
      </c>
      <c r="Y10" s="167"/>
    </row>
    <row r="11" spans="1:25" ht="96" customHeight="1">
      <c r="A11" s="187">
        <v>8</v>
      </c>
      <c r="B11" s="184" t="s">
        <v>130</v>
      </c>
      <c r="C11" s="184" t="s">
        <v>131</v>
      </c>
      <c r="D11" s="173">
        <f>169400</f>
        <v>169400</v>
      </c>
      <c r="E11" s="174">
        <v>350500</v>
      </c>
      <c r="F11" s="175">
        <v>69644</v>
      </c>
      <c r="G11" s="176">
        <f t="shared" si="0"/>
        <v>71601.666666666672</v>
      </c>
      <c r="H11" s="177">
        <f t="shared" si="1"/>
        <v>2.4323703405892827</v>
      </c>
      <c r="I11" s="177">
        <f t="shared" si="1"/>
        <v>4.8951374502455716</v>
      </c>
      <c r="J11" s="178">
        <v>75701</v>
      </c>
      <c r="K11" s="178">
        <v>59901</v>
      </c>
      <c r="L11" s="178">
        <v>72905</v>
      </c>
      <c r="M11" s="178">
        <v>81999</v>
      </c>
      <c r="N11" s="189">
        <v>1195</v>
      </c>
      <c r="O11" s="179">
        <f t="shared" si="2"/>
        <v>68.618410041841003</v>
      </c>
      <c r="P11" s="179">
        <f t="shared" si="3"/>
        <v>82342.092050209205</v>
      </c>
      <c r="Q11" s="179">
        <f t="shared" si="4"/>
        <v>823420.92050209199</v>
      </c>
      <c r="R11" s="179">
        <f t="shared" si="5"/>
        <v>127630.24267782425</v>
      </c>
      <c r="S11" s="180">
        <f t="shared" si="6"/>
        <v>859220</v>
      </c>
      <c r="T11" s="192">
        <f>G11*(12-I11)</f>
        <v>508720.00000000006</v>
      </c>
      <c r="U11" s="168">
        <f>14340*28</f>
        <v>401520</v>
      </c>
      <c r="V11" s="191">
        <v>0.155</v>
      </c>
      <c r="W11" s="183">
        <f>V11*U11</f>
        <v>62235.6</v>
      </c>
      <c r="X11" s="167" t="s">
        <v>323</v>
      </c>
      <c r="Y11" s="167" t="s">
        <v>315</v>
      </c>
    </row>
    <row r="12" spans="1:25" ht="83.25" customHeight="1">
      <c r="A12" s="187">
        <v>9</v>
      </c>
      <c r="B12" s="184" t="s">
        <v>132</v>
      </c>
      <c r="C12" s="184" t="s">
        <v>133</v>
      </c>
      <c r="D12" s="173">
        <v>105593</v>
      </c>
      <c r="E12" s="174">
        <v>211411</v>
      </c>
      <c r="F12" s="175">
        <v>30600</v>
      </c>
      <c r="G12" s="176">
        <f t="shared" si="0"/>
        <v>33135</v>
      </c>
      <c r="H12" s="177">
        <f t="shared" si="1"/>
        <v>3.4507516339869282</v>
      </c>
      <c r="I12" s="177">
        <f t="shared" si="1"/>
        <v>6.3802927418137925</v>
      </c>
      <c r="J12" s="178">
        <v>33194</v>
      </c>
      <c r="K12" s="178">
        <v>27133</v>
      </c>
      <c r="L12" s="178">
        <v>34869</v>
      </c>
      <c r="M12" s="178">
        <v>37403</v>
      </c>
      <c r="N12" s="179">
        <v>541</v>
      </c>
      <c r="O12" s="179">
        <f t="shared" si="2"/>
        <v>69.136783733826249</v>
      </c>
      <c r="P12" s="179">
        <f t="shared" si="3"/>
        <v>82964.140480591494</v>
      </c>
      <c r="Q12" s="179">
        <f t="shared" si="4"/>
        <v>829641.40480591496</v>
      </c>
      <c r="R12" s="179">
        <f t="shared" si="5"/>
        <v>24391.4573012939</v>
      </c>
      <c r="S12" s="180">
        <f t="shared" si="6"/>
        <v>397620</v>
      </c>
      <c r="T12" s="192">
        <f>G12*(12-I12)</f>
        <v>186209</v>
      </c>
      <c r="U12" s="168">
        <f>2639*50</f>
        <v>131950</v>
      </c>
      <c r="V12" s="191">
        <v>2.9399999999999999E-2</v>
      </c>
      <c r="W12" s="183">
        <f>V12*U12</f>
        <v>3879.33</v>
      </c>
      <c r="X12" s="167" t="s">
        <v>323</v>
      </c>
      <c r="Y12" s="167" t="s">
        <v>315</v>
      </c>
    </row>
    <row r="13" spans="1:25" ht="88.5" customHeight="1">
      <c r="A13" s="187">
        <v>10</v>
      </c>
      <c r="B13" s="184" t="s">
        <v>134</v>
      </c>
      <c r="C13" s="184" t="s">
        <v>134</v>
      </c>
      <c r="D13" s="173">
        <v>794419</v>
      </c>
      <c r="E13" s="174">
        <v>927688</v>
      </c>
      <c r="F13" s="175">
        <v>22725</v>
      </c>
      <c r="G13" s="176">
        <f t="shared" si="0"/>
        <v>26612.666666666668</v>
      </c>
      <c r="H13" s="177">
        <f t="shared" si="1"/>
        <v>34.95793179317932</v>
      </c>
      <c r="I13" s="177">
        <f t="shared" si="1"/>
        <v>34.85888925073273</v>
      </c>
      <c r="J13" s="178">
        <v>25245</v>
      </c>
      <c r="K13" s="178">
        <v>24166</v>
      </c>
      <c r="L13" s="178">
        <v>27361</v>
      </c>
      <c r="M13" s="178">
        <v>28311</v>
      </c>
      <c r="N13" s="189">
        <v>666</v>
      </c>
      <c r="O13" s="179">
        <f t="shared" si="2"/>
        <v>42.509009009009006</v>
      </c>
      <c r="P13" s="179">
        <f t="shared" si="3"/>
        <v>51010.810810810806</v>
      </c>
      <c r="Q13" s="179">
        <f t="shared" si="4"/>
        <v>510108.10810810805</v>
      </c>
      <c r="R13" s="179">
        <f t="shared" si="5"/>
        <v>31371.648648648643</v>
      </c>
      <c r="S13" s="180">
        <f t="shared" si="6"/>
        <v>319352</v>
      </c>
      <c r="T13" s="167" t="s">
        <v>316</v>
      </c>
      <c r="U13" s="168"/>
      <c r="V13" s="185">
        <v>6.1499999999999999E-2</v>
      </c>
      <c r="W13" s="183"/>
      <c r="X13" s="167" t="s">
        <v>317</v>
      </c>
      <c r="Y13" s="194"/>
    </row>
    <row r="14" spans="1:25" ht="87" customHeight="1">
      <c r="A14" s="187">
        <v>11</v>
      </c>
      <c r="B14" s="184" t="s">
        <v>135</v>
      </c>
      <c r="C14" s="184" t="s">
        <v>136</v>
      </c>
      <c r="D14" s="173">
        <v>760232</v>
      </c>
      <c r="E14" s="174">
        <v>1099126</v>
      </c>
      <c r="F14" s="175">
        <v>115100</v>
      </c>
      <c r="G14" s="176">
        <f t="shared" si="0"/>
        <v>112927.33333333333</v>
      </c>
      <c r="H14" s="177">
        <f t="shared" si="1"/>
        <v>6.6049695916594269</v>
      </c>
      <c r="I14" s="177">
        <f t="shared" si="1"/>
        <v>9.7330377646982438</v>
      </c>
      <c r="J14" s="178">
        <v>107252</v>
      </c>
      <c r="K14" s="178">
        <v>107030</v>
      </c>
      <c r="L14" s="178">
        <v>117604</v>
      </c>
      <c r="M14" s="178">
        <v>114148</v>
      </c>
      <c r="N14" s="179">
        <v>1369</v>
      </c>
      <c r="O14" s="179">
        <f t="shared" si="2"/>
        <v>83.380569758948141</v>
      </c>
      <c r="P14" s="179">
        <f t="shared" si="3"/>
        <v>100056.68371073777</v>
      </c>
      <c r="Q14" s="179">
        <f t="shared" si="4"/>
        <v>1000566.8371073776</v>
      </c>
      <c r="R14" s="179">
        <f t="shared" si="5"/>
        <v>120568.303871439</v>
      </c>
      <c r="S14" s="180">
        <f t="shared" si="6"/>
        <v>1355128</v>
      </c>
      <c r="T14" s="167" t="s">
        <v>316</v>
      </c>
      <c r="U14" s="168"/>
      <c r="V14" s="185">
        <v>0.1205</v>
      </c>
      <c r="W14" s="183"/>
      <c r="X14" s="167" t="s">
        <v>317</v>
      </c>
      <c r="Y14" s="186"/>
    </row>
    <row r="15" spans="1:25" ht="92.25" customHeight="1">
      <c r="A15" s="195">
        <v>12</v>
      </c>
      <c r="B15" s="184" t="s">
        <v>137</v>
      </c>
      <c r="C15" s="184" t="s">
        <v>138</v>
      </c>
      <c r="D15" s="173">
        <v>362100</v>
      </c>
      <c r="E15" s="174">
        <v>562233</v>
      </c>
      <c r="F15" s="175">
        <v>79756</v>
      </c>
      <c r="G15" s="176">
        <f t="shared" si="0"/>
        <v>77646.666666666672</v>
      </c>
      <c r="H15" s="177">
        <f t="shared" si="1"/>
        <v>4.5400972967551034</v>
      </c>
      <c r="I15" s="177">
        <f t="shared" si="1"/>
        <v>7.2409161157379582</v>
      </c>
      <c r="J15" s="178">
        <v>89377</v>
      </c>
      <c r="K15" s="178">
        <v>15497</v>
      </c>
      <c r="L15" s="178">
        <v>88710</v>
      </c>
      <c r="M15" s="178">
        <v>128733</v>
      </c>
      <c r="N15" s="189">
        <v>1910</v>
      </c>
      <c r="O15" s="179">
        <f t="shared" si="2"/>
        <v>67.399476439790575</v>
      </c>
      <c r="P15" s="179">
        <f t="shared" si="3"/>
        <v>80879.371727748687</v>
      </c>
      <c r="Q15" s="179">
        <f t="shared" si="4"/>
        <v>808793.71727748681</v>
      </c>
      <c r="R15" s="179">
        <f t="shared" si="5"/>
        <v>72791.434554973806</v>
      </c>
      <c r="S15" s="180">
        <f t="shared" si="6"/>
        <v>931760</v>
      </c>
      <c r="T15" s="167" t="s">
        <v>316</v>
      </c>
      <c r="U15" s="168"/>
      <c r="V15" s="196">
        <v>0.09</v>
      </c>
      <c r="W15" s="183"/>
      <c r="X15" s="167" t="s">
        <v>317</v>
      </c>
      <c r="Y15" s="186"/>
    </row>
    <row r="16" spans="1:25" ht="138" customHeight="1">
      <c r="A16" s="197"/>
      <c r="B16" s="184" t="s">
        <v>139</v>
      </c>
      <c r="C16" s="184" t="s">
        <v>139</v>
      </c>
      <c r="D16" s="173">
        <v>1491474</v>
      </c>
      <c r="E16" s="174">
        <v>1846371</v>
      </c>
      <c r="F16" s="175">
        <v>186666</v>
      </c>
      <c r="G16" s="176">
        <f t="shared" si="0"/>
        <v>127253</v>
      </c>
      <c r="H16" s="177">
        <f t="shared" si="1"/>
        <v>7.9900678216707917</v>
      </c>
      <c r="I16" s="177">
        <f t="shared" si="1"/>
        <v>14.509449678985957</v>
      </c>
      <c r="J16" s="178">
        <v>0</v>
      </c>
      <c r="K16" s="178">
        <v>199313</v>
      </c>
      <c r="L16" s="178">
        <v>138489</v>
      </c>
      <c r="M16" s="178">
        <v>43957</v>
      </c>
      <c r="N16" s="198">
        <v>499</v>
      </c>
      <c r="O16" s="179">
        <f t="shared" si="2"/>
        <v>88.090180360721448</v>
      </c>
      <c r="P16" s="179">
        <f t="shared" si="3"/>
        <v>105708.21643286574</v>
      </c>
      <c r="Q16" s="179">
        <f t="shared" si="4"/>
        <v>1057082.1643286573</v>
      </c>
      <c r="R16" s="179">
        <f t="shared" si="5"/>
        <v>110993.62725450902</v>
      </c>
      <c r="S16" s="180">
        <f t="shared" si="6"/>
        <v>1527036</v>
      </c>
      <c r="T16" s="167" t="s">
        <v>316</v>
      </c>
      <c r="U16" s="168"/>
      <c r="V16" s="196">
        <v>0.105</v>
      </c>
      <c r="W16" s="183"/>
      <c r="X16" s="167" t="s">
        <v>324</v>
      </c>
      <c r="Y16" s="194" t="s">
        <v>325</v>
      </c>
    </row>
    <row r="17" spans="1:25" ht="112.5" customHeight="1">
      <c r="A17" s="199"/>
      <c r="B17" s="184" t="s">
        <v>140</v>
      </c>
      <c r="C17" s="184" t="s">
        <v>141</v>
      </c>
      <c r="D17" s="173">
        <v>400071</v>
      </c>
      <c r="E17" s="174">
        <v>452838</v>
      </c>
      <c r="F17" s="175">
        <v>27240</v>
      </c>
      <c r="G17" s="176">
        <f t="shared" si="0"/>
        <v>12011</v>
      </c>
      <c r="H17" s="177">
        <f t="shared" si="1"/>
        <v>14.686894273127754</v>
      </c>
      <c r="I17" s="177">
        <f t="shared" si="1"/>
        <v>37.701939888435604</v>
      </c>
      <c r="J17" s="178">
        <v>0</v>
      </c>
      <c r="K17" s="178">
        <v>10407</v>
      </c>
      <c r="L17" s="178">
        <v>11936</v>
      </c>
      <c r="M17" s="178">
        <v>13690</v>
      </c>
      <c r="N17" s="179">
        <v>291</v>
      </c>
      <c r="O17" s="179">
        <f t="shared" si="2"/>
        <v>47.044673539518904</v>
      </c>
      <c r="P17" s="179">
        <f t="shared" si="3"/>
        <v>56453.608247422686</v>
      </c>
      <c r="Q17" s="179">
        <f t="shared" si="4"/>
        <v>564536.08247422683</v>
      </c>
      <c r="R17" s="179">
        <f t="shared" si="5"/>
        <v>132101.4432989691</v>
      </c>
      <c r="S17" s="180">
        <f t="shared" si="6"/>
        <v>144132</v>
      </c>
      <c r="T17" s="167" t="s">
        <v>316</v>
      </c>
      <c r="U17" s="168"/>
      <c r="V17" s="200">
        <v>0.23400000000000001</v>
      </c>
      <c r="W17" s="183"/>
      <c r="X17" s="167" t="s">
        <v>326</v>
      </c>
      <c r="Y17" s="194" t="s">
        <v>327</v>
      </c>
    </row>
    <row r="18" spans="1:25" ht="87" customHeight="1">
      <c r="A18" s="195">
        <v>13</v>
      </c>
      <c r="B18" s="201" t="s">
        <v>142</v>
      </c>
      <c r="C18" s="184" t="s">
        <v>143</v>
      </c>
      <c r="D18" s="173">
        <v>678750</v>
      </c>
      <c r="E18" s="174">
        <v>833685</v>
      </c>
      <c r="F18" s="175">
        <v>0</v>
      </c>
      <c r="G18" s="174">
        <v>21402</v>
      </c>
      <c r="H18" s="177" t="e">
        <f t="shared" si="1"/>
        <v>#DIV/0!</v>
      </c>
      <c r="I18" s="177">
        <f t="shared" si="1"/>
        <v>38.953602467059156</v>
      </c>
      <c r="J18" s="178"/>
      <c r="K18" s="178">
        <v>0</v>
      </c>
      <c r="L18" s="178">
        <v>9963</v>
      </c>
      <c r="M18" s="178">
        <v>21402</v>
      </c>
      <c r="N18" s="179">
        <v>288</v>
      </c>
      <c r="O18" s="179">
        <f t="shared" si="2"/>
        <v>74.3125</v>
      </c>
      <c r="P18" s="179">
        <f t="shared" si="3"/>
        <v>89175</v>
      </c>
      <c r="Q18" s="179">
        <f t="shared" si="4"/>
        <v>891750</v>
      </c>
      <c r="R18" s="179">
        <f t="shared" si="5"/>
        <v>281793</v>
      </c>
      <c r="S18" s="180">
        <f t="shared" si="6"/>
        <v>256824</v>
      </c>
      <c r="T18" s="167" t="s">
        <v>316</v>
      </c>
      <c r="U18" s="168"/>
      <c r="V18" s="196">
        <v>0.316</v>
      </c>
      <c r="W18" s="183"/>
      <c r="X18" s="167" t="s">
        <v>328</v>
      </c>
      <c r="Y18" s="194" t="s">
        <v>327</v>
      </c>
    </row>
    <row r="19" spans="1:25" ht="80.25" customHeight="1">
      <c r="A19" s="199"/>
      <c r="B19" s="201" t="s">
        <v>144</v>
      </c>
      <c r="C19" s="184" t="s">
        <v>145</v>
      </c>
      <c r="D19" s="173">
        <v>711780</v>
      </c>
      <c r="E19" s="174">
        <v>1017373</v>
      </c>
      <c r="F19" s="175">
        <v>0</v>
      </c>
      <c r="G19" s="174">
        <v>37794</v>
      </c>
      <c r="H19" s="177" t="e">
        <f t="shared" si="1"/>
        <v>#DIV/0!</v>
      </c>
      <c r="I19" s="177">
        <f t="shared" si="1"/>
        <v>26.918902471291741</v>
      </c>
      <c r="J19" s="178"/>
      <c r="K19" s="178">
        <v>92</v>
      </c>
      <c r="L19" s="178">
        <v>18621</v>
      </c>
      <c r="M19" s="178">
        <v>37794</v>
      </c>
      <c r="N19" s="179">
        <v>590</v>
      </c>
      <c r="O19" s="179">
        <f t="shared" si="2"/>
        <v>64.057627118644064</v>
      </c>
      <c r="P19" s="179">
        <f t="shared" si="3"/>
        <v>76869.152542372874</v>
      </c>
      <c r="Q19" s="179">
        <f t="shared" si="4"/>
        <v>768691.52542372874</v>
      </c>
      <c r="R19" s="179">
        <f t="shared" si="5"/>
        <v>292102.77966101695</v>
      </c>
      <c r="S19" s="180">
        <f t="shared" si="6"/>
        <v>453528</v>
      </c>
      <c r="T19" s="167" t="s">
        <v>316</v>
      </c>
      <c r="U19" s="168"/>
      <c r="V19" s="196">
        <v>0.38</v>
      </c>
      <c r="W19" s="183"/>
      <c r="X19" s="167" t="s">
        <v>328</v>
      </c>
      <c r="Y19" s="194" t="s">
        <v>327</v>
      </c>
    </row>
    <row r="20" spans="1:25" ht="99" customHeight="1">
      <c r="A20" s="187">
        <v>14</v>
      </c>
      <c r="B20" s="201" t="s">
        <v>146</v>
      </c>
      <c r="C20" s="184" t="s">
        <v>147</v>
      </c>
      <c r="D20" s="173">
        <v>1823440</v>
      </c>
      <c r="E20" s="174">
        <v>1980360</v>
      </c>
      <c r="F20" s="175">
        <v>61324</v>
      </c>
      <c r="G20" s="174">
        <v>102410</v>
      </c>
      <c r="H20" s="177">
        <f t="shared" si="1"/>
        <v>29.734524818994196</v>
      </c>
      <c r="I20" s="177">
        <f t="shared" si="1"/>
        <v>19.337564690948149</v>
      </c>
      <c r="J20" s="178"/>
      <c r="K20" s="178">
        <v>14476</v>
      </c>
      <c r="L20" s="178">
        <v>64466</v>
      </c>
      <c r="M20" s="178">
        <v>102410</v>
      </c>
      <c r="N20" s="179">
        <v>1215</v>
      </c>
      <c r="O20" s="179">
        <f t="shared" si="2"/>
        <v>84.288065843621396</v>
      </c>
      <c r="P20" s="179">
        <f t="shared" si="3"/>
        <v>101145.67901234567</v>
      </c>
      <c r="Q20" s="179">
        <f t="shared" si="4"/>
        <v>1011456.7901234567</v>
      </c>
      <c r="R20" s="179">
        <f t="shared" si="5"/>
        <v>68273.333333333328</v>
      </c>
      <c r="S20" s="180">
        <f t="shared" si="6"/>
        <v>1228920</v>
      </c>
      <c r="T20" s="167" t="s">
        <v>316</v>
      </c>
      <c r="U20" s="168"/>
      <c r="V20" s="202">
        <v>6.7500000000000004E-2</v>
      </c>
      <c r="W20" s="183"/>
      <c r="X20" s="167" t="s">
        <v>329</v>
      </c>
      <c r="Y20" s="194"/>
    </row>
    <row r="21" spans="1:25" ht="102.75" customHeight="1">
      <c r="A21" s="187">
        <v>15</v>
      </c>
      <c r="B21" s="201" t="s">
        <v>148</v>
      </c>
      <c r="C21" s="184" t="s">
        <v>149</v>
      </c>
      <c r="D21" s="173">
        <v>1500870</v>
      </c>
      <c r="E21" s="174">
        <v>1620236</v>
      </c>
      <c r="F21" s="175">
        <v>9000</v>
      </c>
      <c r="G21" s="174">
        <v>36603</v>
      </c>
      <c r="H21" s="177">
        <f t="shared" si="1"/>
        <v>166.76333333333332</v>
      </c>
      <c r="I21" s="177">
        <f t="shared" si="1"/>
        <v>44.265114881293883</v>
      </c>
      <c r="J21" s="178"/>
      <c r="K21" s="178">
        <v>152</v>
      </c>
      <c r="L21" s="178">
        <v>19619</v>
      </c>
      <c r="M21" s="178">
        <v>36603</v>
      </c>
      <c r="N21" s="179">
        <v>538</v>
      </c>
      <c r="O21" s="179">
        <f t="shared" si="2"/>
        <v>68.035315985130111</v>
      </c>
      <c r="P21" s="179">
        <f t="shared" si="3"/>
        <v>81642.379182156132</v>
      </c>
      <c r="Q21" s="179">
        <f t="shared" si="4"/>
        <v>816423.79182156129</v>
      </c>
      <c r="R21" s="179">
        <f t="shared" si="5"/>
        <v>48985.427509293673</v>
      </c>
      <c r="S21" s="180">
        <f t="shared" si="6"/>
        <v>439236</v>
      </c>
      <c r="T21" s="167" t="s">
        <v>316</v>
      </c>
      <c r="U21" s="168"/>
      <c r="V21" s="196">
        <v>0.06</v>
      </c>
      <c r="W21" s="183"/>
      <c r="X21" s="167" t="s">
        <v>326</v>
      </c>
      <c r="Y21" s="186" t="s">
        <v>330</v>
      </c>
    </row>
    <row r="22" spans="1:25" ht="111.75" customHeight="1">
      <c r="A22" s="187">
        <v>16</v>
      </c>
      <c r="B22" s="201" t="s">
        <v>150</v>
      </c>
      <c r="C22" s="201" t="s">
        <v>151</v>
      </c>
      <c r="D22" s="173">
        <f>615081+1173900</f>
        <v>1788981</v>
      </c>
      <c r="E22" s="174">
        <v>1920162</v>
      </c>
      <c r="F22" s="175">
        <v>16700</v>
      </c>
      <c r="G22" s="174">
        <v>35141</v>
      </c>
      <c r="H22" s="177">
        <f t="shared" si="1"/>
        <v>107.12461077844311</v>
      </c>
      <c r="I22" s="177">
        <f t="shared" si="1"/>
        <v>54.641643664096073</v>
      </c>
      <c r="J22" s="178"/>
      <c r="K22" s="178">
        <v>5620</v>
      </c>
      <c r="L22" s="178">
        <v>23666</v>
      </c>
      <c r="M22" s="178">
        <v>35141</v>
      </c>
      <c r="N22" s="189">
        <v>561</v>
      </c>
      <c r="O22" s="179">
        <f t="shared" si="2"/>
        <v>62.639928698752229</v>
      </c>
      <c r="P22" s="179">
        <f t="shared" si="3"/>
        <v>75167.914438502674</v>
      </c>
      <c r="Q22" s="179">
        <f t="shared" si="4"/>
        <v>751679.14438502677</v>
      </c>
      <c r="R22" s="179">
        <f t="shared" si="5"/>
        <v>112000.19251336898</v>
      </c>
      <c r="S22" s="180">
        <f t="shared" si="6"/>
        <v>421692</v>
      </c>
      <c r="T22" s="167" t="s">
        <v>316</v>
      </c>
      <c r="U22" s="168"/>
      <c r="V22" s="200">
        <v>0.14899999999999999</v>
      </c>
      <c r="W22" s="183"/>
      <c r="X22" s="167" t="s">
        <v>326</v>
      </c>
      <c r="Y22" s="186" t="s">
        <v>330</v>
      </c>
    </row>
    <row r="23" spans="1:25" ht="57.75" customHeight="1">
      <c r="A23" s="195">
        <v>17</v>
      </c>
      <c r="B23" s="201" t="s">
        <v>152</v>
      </c>
      <c r="C23" s="184" t="s">
        <v>153</v>
      </c>
      <c r="D23" s="173">
        <v>15041575</v>
      </c>
      <c r="E23" s="174">
        <v>20783209</v>
      </c>
      <c r="F23" s="203">
        <v>0</v>
      </c>
      <c r="G23" s="174">
        <v>131581</v>
      </c>
      <c r="H23" s="177" t="e">
        <f t="shared" si="1"/>
        <v>#DIV/0!</v>
      </c>
      <c r="I23" s="177">
        <f t="shared" si="1"/>
        <v>157.94992438117964</v>
      </c>
      <c r="J23" s="178"/>
      <c r="K23" s="178">
        <v>16901</v>
      </c>
      <c r="L23" s="178">
        <v>84884</v>
      </c>
      <c r="M23" s="178">
        <v>131581</v>
      </c>
      <c r="N23" s="179">
        <v>1809</v>
      </c>
      <c r="O23" s="179">
        <f t="shared" si="2"/>
        <v>72.736871199557768</v>
      </c>
      <c r="P23" s="179">
        <f t="shared" si="3"/>
        <v>87284.24543946932</v>
      </c>
      <c r="Q23" s="179">
        <f t="shared" si="4"/>
        <v>872842.45439469325</v>
      </c>
      <c r="R23" s="179">
        <f t="shared" si="5"/>
        <v>62931.940961857385</v>
      </c>
      <c r="S23" s="180">
        <f t="shared" si="6"/>
        <v>1578972</v>
      </c>
      <c r="T23" s="167" t="s">
        <v>316</v>
      </c>
      <c r="U23" s="168"/>
      <c r="V23" s="196">
        <v>7.2099999999999997E-2</v>
      </c>
      <c r="W23" s="204"/>
      <c r="X23" s="167" t="s">
        <v>326</v>
      </c>
      <c r="Y23" s="186" t="s">
        <v>331</v>
      </c>
    </row>
    <row r="24" spans="1:25" ht="54">
      <c r="A24" s="199"/>
      <c r="B24" s="201" t="s">
        <v>154</v>
      </c>
      <c r="C24" s="184" t="s">
        <v>155</v>
      </c>
      <c r="D24" s="173">
        <v>1765665</v>
      </c>
      <c r="E24" s="174">
        <v>4716444</v>
      </c>
      <c r="F24" s="203">
        <v>0</v>
      </c>
      <c r="G24" s="174">
        <v>19185</v>
      </c>
      <c r="H24" s="177" t="e">
        <f t="shared" si="1"/>
        <v>#DIV/0!</v>
      </c>
      <c r="I24" s="177">
        <f t="shared" si="1"/>
        <v>245.84018764659891</v>
      </c>
      <c r="J24" s="178"/>
      <c r="K24" s="178">
        <v>2114</v>
      </c>
      <c r="L24" s="178">
        <v>15922</v>
      </c>
      <c r="M24" s="178">
        <v>19185</v>
      </c>
      <c r="N24" s="179">
        <v>190</v>
      </c>
      <c r="O24" s="179">
        <f t="shared" si="2"/>
        <v>100.97368421052632</v>
      </c>
      <c r="P24" s="179">
        <f t="shared" si="3"/>
        <v>121168.42105263157</v>
      </c>
      <c r="Q24" s="179">
        <f t="shared" si="4"/>
        <v>1211684.2105263157</v>
      </c>
      <c r="R24" s="179">
        <f t="shared" si="5"/>
        <v>96934.736842105267</v>
      </c>
      <c r="S24" s="180">
        <f t="shared" si="6"/>
        <v>230220</v>
      </c>
      <c r="T24" s="167" t="s">
        <v>316</v>
      </c>
      <c r="U24" s="168"/>
      <c r="V24" s="196">
        <v>0.08</v>
      </c>
      <c r="W24" s="167"/>
      <c r="X24" s="167" t="s">
        <v>326</v>
      </c>
      <c r="Y24" s="186" t="s">
        <v>331</v>
      </c>
    </row>
    <row r="25" spans="1:25" ht="35.25" customHeight="1">
      <c r="A25" s="205">
        <v>18</v>
      </c>
      <c r="B25" s="206" t="s">
        <v>156</v>
      </c>
      <c r="C25" s="206" t="s">
        <v>157</v>
      </c>
      <c r="D25" s="173">
        <v>1394444</v>
      </c>
      <c r="E25" s="174">
        <v>1972777</v>
      </c>
      <c r="F25" s="203">
        <v>353640</v>
      </c>
      <c r="G25" s="176">
        <f t="shared" si="0"/>
        <v>398102.33333333331</v>
      </c>
      <c r="H25" s="177">
        <f t="shared" si="1"/>
        <v>3.9431172944237076</v>
      </c>
      <c r="I25" s="177">
        <f t="shared" si="1"/>
        <v>4.9554519901499363</v>
      </c>
      <c r="J25" s="207">
        <v>363351</v>
      </c>
      <c r="K25" s="207">
        <v>369403</v>
      </c>
      <c r="L25" s="207">
        <v>398024</v>
      </c>
      <c r="M25" s="207">
        <v>426880</v>
      </c>
      <c r="N25" s="179">
        <v>3571</v>
      </c>
      <c r="O25" s="179">
        <f t="shared" si="2"/>
        <v>119.54074488938673</v>
      </c>
      <c r="P25" s="179">
        <f t="shared" si="3"/>
        <v>143448.89386726407</v>
      </c>
      <c r="Q25" s="179">
        <f t="shared" si="4"/>
        <v>1434488.9386726406</v>
      </c>
      <c r="R25" s="179">
        <f t="shared" si="5"/>
        <v>121214.31531783813</v>
      </c>
      <c r="S25" s="180">
        <f t="shared" si="6"/>
        <v>4777228</v>
      </c>
      <c r="T25" s="192">
        <f>G25*(12-I25)</f>
        <v>2804451</v>
      </c>
      <c r="U25" s="168">
        <f>35390*60</f>
        <v>2123400</v>
      </c>
      <c r="V25" s="208">
        <v>8.4500000000000006E-2</v>
      </c>
      <c r="W25" s="209">
        <f>V25*U25</f>
        <v>179427.30000000002</v>
      </c>
      <c r="X25" s="167" t="s">
        <v>317</v>
      </c>
      <c r="Y25" s="167" t="s">
        <v>315</v>
      </c>
    </row>
    <row r="26" spans="1:25" ht="54">
      <c r="A26" s="205">
        <v>19</v>
      </c>
      <c r="B26" s="206" t="s">
        <v>158</v>
      </c>
      <c r="C26" s="206" t="s">
        <v>159</v>
      </c>
      <c r="D26" s="173">
        <v>649870</v>
      </c>
      <c r="E26" s="174">
        <v>1010305</v>
      </c>
      <c r="F26" s="203">
        <v>248610</v>
      </c>
      <c r="G26" s="176">
        <f t="shared" si="0"/>
        <v>137546.33333333334</v>
      </c>
      <c r="H26" s="177">
        <f t="shared" si="1"/>
        <v>2.6140139173806363</v>
      </c>
      <c r="I26" s="177">
        <f t="shared" si="1"/>
        <v>7.3451976182571199</v>
      </c>
      <c r="J26" s="178">
        <v>97303</v>
      </c>
      <c r="K26" s="178">
        <v>102714</v>
      </c>
      <c r="L26" s="178">
        <v>167394</v>
      </c>
      <c r="M26" s="178">
        <v>142531</v>
      </c>
      <c r="N26" s="189">
        <v>1705</v>
      </c>
      <c r="O26" s="179">
        <f t="shared" si="2"/>
        <v>83.595894428152491</v>
      </c>
      <c r="P26" s="179">
        <f t="shared" si="3"/>
        <v>100315.073313783</v>
      </c>
      <c r="Q26" s="179">
        <f t="shared" si="4"/>
        <v>1003150.7331378299</v>
      </c>
      <c r="R26" s="179">
        <f t="shared" si="5"/>
        <v>112252.56703812316</v>
      </c>
      <c r="S26" s="180">
        <f t="shared" si="6"/>
        <v>1650556</v>
      </c>
      <c r="T26" s="192">
        <f>G26*(12-I26)</f>
        <v>640251.00000000012</v>
      </c>
      <c r="U26" s="168">
        <f>5280*60</f>
        <v>316800</v>
      </c>
      <c r="V26" s="210">
        <v>0.1119</v>
      </c>
      <c r="W26" s="209">
        <f>V26*U26</f>
        <v>35449.919999999998</v>
      </c>
      <c r="X26" s="167" t="s">
        <v>322</v>
      </c>
      <c r="Y26" s="167" t="s">
        <v>315</v>
      </c>
    </row>
    <row r="27" spans="1:25" ht="51.75" customHeight="1">
      <c r="A27" s="205">
        <v>20</v>
      </c>
      <c r="B27" s="206" t="s">
        <v>160</v>
      </c>
      <c r="C27" s="206" t="s">
        <v>161</v>
      </c>
      <c r="D27" s="173">
        <v>384017</v>
      </c>
      <c r="E27" s="174">
        <v>670680</v>
      </c>
      <c r="F27" s="203">
        <v>152310</v>
      </c>
      <c r="G27" s="176">
        <f t="shared" si="0"/>
        <v>122750.66666666667</v>
      </c>
      <c r="H27" s="177">
        <f t="shared" si="1"/>
        <v>2.5212855360777362</v>
      </c>
      <c r="I27" s="177">
        <f t="shared" si="1"/>
        <v>5.4637585131920527</v>
      </c>
      <c r="J27" s="178">
        <v>103094</v>
      </c>
      <c r="K27" s="178">
        <v>103715</v>
      </c>
      <c r="L27" s="178">
        <v>136114</v>
      </c>
      <c r="M27" s="178">
        <v>128423</v>
      </c>
      <c r="N27" s="179">
        <v>1356</v>
      </c>
      <c r="O27" s="179">
        <f t="shared" si="2"/>
        <v>94.707227138643063</v>
      </c>
      <c r="P27" s="179">
        <f t="shared" si="3"/>
        <v>113648.67256637168</v>
      </c>
      <c r="Q27" s="179">
        <f t="shared" si="4"/>
        <v>1136486.7256637169</v>
      </c>
      <c r="R27" s="179">
        <f t="shared" si="5"/>
        <v>123877.05309734514</v>
      </c>
      <c r="S27" s="180">
        <f t="shared" si="6"/>
        <v>1473008</v>
      </c>
      <c r="T27" s="192">
        <f>G27*(12-I27)</f>
        <v>802328.00000000012</v>
      </c>
      <c r="U27" s="168">
        <f>9543*60</f>
        <v>572580</v>
      </c>
      <c r="V27" s="211">
        <v>0.109</v>
      </c>
      <c r="W27" s="209">
        <f>V27*U27</f>
        <v>62411.22</v>
      </c>
      <c r="X27" s="167" t="s">
        <v>322</v>
      </c>
      <c r="Y27" s="167" t="s">
        <v>315</v>
      </c>
    </row>
    <row r="28" spans="1:25" ht="51.75" customHeight="1">
      <c r="A28" s="212">
        <v>21</v>
      </c>
      <c r="B28" s="213" t="s">
        <v>162</v>
      </c>
      <c r="C28" s="213" t="s">
        <v>163</v>
      </c>
      <c r="D28" s="173">
        <v>7000</v>
      </c>
      <c r="E28" s="174">
        <v>39559</v>
      </c>
      <c r="F28" s="203">
        <v>11725</v>
      </c>
      <c r="G28" s="176">
        <f t="shared" si="0"/>
        <v>8768</v>
      </c>
      <c r="H28" s="177">
        <f t="shared" si="1"/>
        <v>0.59701492537313428</v>
      </c>
      <c r="I28" s="177">
        <f t="shared" si="1"/>
        <v>4.5117472627737225</v>
      </c>
      <c r="J28" s="178">
        <v>7133</v>
      </c>
      <c r="K28" s="178">
        <v>9405</v>
      </c>
      <c r="L28" s="178">
        <v>6884</v>
      </c>
      <c r="M28" s="178">
        <v>10015</v>
      </c>
      <c r="N28" s="179">
        <v>58</v>
      </c>
      <c r="O28" s="179">
        <f t="shared" si="2"/>
        <v>172.67241379310346</v>
      </c>
      <c r="P28" s="179">
        <f t="shared" si="3"/>
        <v>207206.89655172414</v>
      </c>
      <c r="Q28" s="179">
        <f t="shared" si="4"/>
        <v>2072068.9655172415</v>
      </c>
      <c r="R28" s="179">
        <f t="shared" si="5"/>
        <v>342305.79310344835</v>
      </c>
      <c r="S28" s="180">
        <f t="shared" si="6"/>
        <v>105216</v>
      </c>
      <c r="T28" s="192">
        <f>G28*(12-I28)</f>
        <v>65657</v>
      </c>
      <c r="U28" s="168">
        <f>882*50</f>
        <v>44100</v>
      </c>
      <c r="V28" s="190">
        <v>0.16520000000000001</v>
      </c>
      <c r="W28" s="209">
        <f t="shared" ref="W28:W31" si="7">V28*U28</f>
        <v>7285.3200000000006</v>
      </c>
      <c r="X28" s="167" t="s">
        <v>322</v>
      </c>
      <c r="Y28" s="167" t="s">
        <v>315</v>
      </c>
    </row>
    <row r="29" spans="1:25" ht="51.75" customHeight="1">
      <c r="A29" s="212">
        <v>22</v>
      </c>
      <c r="B29" s="213" t="s">
        <v>164</v>
      </c>
      <c r="C29" s="213" t="s">
        <v>165</v>
      </c>
      <c r="D29" s="173">
        <v>120979</v>
      </c>
      <c r="E29" s="174">
        <f>313198-1568</f>
        <v>311630</v>
      </c>
      <c r="F29" s="203">
        <v>94100</v>
      </c>
      <c r="G29" s="176">
        <f t="shared" si="0"/>
        <v>96995.666666666672</v>
      </c>
      <c r="H29" s="177">
        <f t="shared" si="1"/>
        <v>1.2856429330499468</v>
      </c>
      <c r="I29" s="177">
        <f t="shared" si="1"/>
        <v>3.2128239405884109</v>
      </c>
      <c r="J29" s="178">
        <v>97444</v>
      </c>
      <c r="K29" s="178">
        <v>101834</v>
      </c>
      <c r="L29" s="178">
        <v>85627</v>
      </c>
      <c r="M29" s="178">
        <v>103526</v>
      </c>
      <c r="N29" s="189">
        <v>937</v>
      </c>
      <c r="O29" s="179">
        <f t="shared" si="2"/>
        <v>110.48665955176094</v>
      </c>
      <c r="P29" s="179">
        <f t="shared" si="3"/>
        <v>132583.99146211313</v>
      </c>
      <c r="Q29" s="179">
        <f t="shared" si="4"/>
        <v>1325839.9146211313</v>
      </c>
      <c r="R29" s="179">
        <f t="shared" si="5"/>
        <v>59662.796157950906</v>
      </c>
      <c r="S29" s="180">
        <f t="shared" si="6"/>
        <v>1163948</v>
      </c>
      <c r="T29" s="192">
        <f>G29*(12-I29)</f>
        <v>852318.00000000012</v>
      </c>
      <c r="U29" s="168">
        <f>14457*50</f>
        <v>722850</v>
      </c>
      <c r="V29" s="208">
        <v>4.4999999999999998E-2</v>
      </c>
      <c r="W29" s="209">
        <f t="shared" si="7"/>
        <v>32528.25</v>
      </c>
      <c r="X29" s="167" t="s">
        <v>322</v>
      </c>
      <c r="Y29" s="167" t="s">
        <v>315</v>
      </c>
    </row>
    <row r="30" spans="1:25" ht="68.25" customHeight="1">
      <c r="A30" s="214">
        <v>23</v>
      </c>
      <c r="B30" s="215" t="s">
        <v>166</v>
      </c>
      <c r="C30" s="215" t="s">
        <v>167</v>
      </c>
      <c r="D30" s="173">
        <v>1792</v>
      </c>
      <c r="E30" s="174">
        <v>4308</v>
      </c>
      <c r="F30" s="216">
        <v>1091</v>
      </c>
      <c r="G30" s="176">
        <f t="shared" si="0"/>
        <v>1883</v>
      </c>
      <c r="H30" s="177">
        <f t="shared" si="1"/>
        <v>1.6425297891842348</v>
      </c>
      <c r="I30" s="177">
        <f t="shared" si="1"/>
        <v>2.2878385554965481</v>
      </c>
      <c r="J30" s="178">
        <v>1348</v>
      </c>
      <c r="K30" s="178">
        <v>834</v>
      </c>
      <c r="L30" s="178">
        <f>1971+1640</f>
        <v>3611</v>
      </c>
      <c r="M30" s="178">
        <v>1204</v>
      </c>
      <c r="N30" s="179">
        <v>20</v>
      </c>
      <c r="O30" s="179">
        <f t="shared" si="2"/>
        <v>60.2</v>
      </c>
      <c r="P30" s="179">
        <f t="shared" si="3"/>
        <v>72240</v>
      </c>
      <c r="Q30" s="179">
        <f t="shared" si="4"/>
        <v>722400</v>
      </c>
      <c r="R30" s="179">
        <f t="shared" si="5"/>
        <v>2332990.7999999998</v>
      </c>
      <c r="S30" s="180">
        <f t="shared" si="6"/>
        <v>22596</v>
      </c>
      <c r="T30" s="192">
        <f t="shared" ref="T30:T35" si="8">G30*(12-I30)</f>
        <v>18288</v>
      </c>
      <c r="U30" s="168">
        <v>19000</v>
      </c>
      <c r="V30" s="190">
        <v>3.2294999999999998</v>
      </c>
      <c r="W30" s="209">
        <f t="shared" si="7"/>
        <v>61360.5</v>
      </c>
      <c r="X30" s="167" t="s">
        <v>332</v>
      </c>
      <c r="Y30" s="167" t="s">
        <v>315</v>
      </c>
    </row>
    <row r="31" spans="1:25" ht="119.25" customHeight="1">
      <c r="A31" s="217">
        <v>24</v>
      </c>
      <c r="B31" s="215" t="s">
        <v>168</v>
      </c>
      <c r="C31" s="215" t="s">
        <v>169</v>
      </c>
      <c r="D31" s="173">
        <v>0</v>
      </c>
      <c r="E31" s="174">
        <v>688</v>
      </c>
      <c r="F31" s="216">
        <v>1639</v>
      </c>
      <c r="G31" s="176">
        <f t="shared" si="0"/>
        <v>1531</v>
      </c>
      <c r="H31" s="177">
        <f t="shared" si="1"/>
        <v>0</v>
      </c>
      <c r="I31" s="177">
        <f t="shared" si="1"/>
        <v>0.44937949052906595</v>
      </c>
      <c r="J31" s="178">
        <v>916</v>
      </c>
      <c r="K31" s="178">
        <v>156</v>
      </c>
      <c r="L31" s="178">
        <v>2685</v>
      </c>
      <c r="M31" s="178">
        <v>1752</v>
      </c>
      <c r="N31" s="189">
        <v>852</v>
      </c>
      <c r="O31" s="179">
        <f t="shared" si="2"/>
        <v>2.056338028169014</v>
      </c>
      <c r="P31" s="179">
        <f t="shared" si="3"/>
        <v>2467.605633802817</v>
      </c>
      <c r="Q31" s="179">
        <f t="shared" si="4"/>
        <v>24676.056338028171</v>
      </c>
      <c r="R31" s="179">
        <f t="shared" si="5"/>
        <v>635655.21126760577</v>
      </c>
      <c r="S31" s="180">
        <f t="shared" si="6"/>
        <v>18372</v>
      </c>
      <c r="T31" s="192">
        <f t="shared" si="8"/>
        <v>17684</v>
      </c>
      <c r="U31" s="168">
        <v>20000</v>
      </c>
      <c r="V31" s="208">
        <v>25.76</v>
      </c>
      <c r="W31" s="209">
        <f t="shared" si="7"/>
        <v>515200.00000000006</v>
      </c>
      <c r="X31" s="167" t="s">
        <v>333</v>
      </c>
      <c r="Y31" s="167" t="s">
        <v>315</v>
      </c>
    </row>
    <row r="32" spans="1:25" ht="91.5" customHeight="1">
      <c r="A32" s="218"/>
      <c r="B32" s="215" t="s">
        <v>170</v>
      </c>
      <c r="C32" s="215" t="s">
        <v>171</v>
      </c>
      <c r="D32" s="173">
        <v>6997</v>
      </c>
      <c r="E32" s="174">
        <v>8978</v>
      </c>
      <c r="F32" s="216">
        <v>0</v>
      </c>
      <c r="G32" s="174">
        <v>854</v>
      </c>
      <c r="H32" s="177" t="e">
        <f t="shared" si="1"/>
        <v>#DIV/0!</v>
      </c>
      <c r="I32" s="177">
        <f t="shared" si="1"/>
        <v>10.512880562060889</v>
      </c>
      <c r="J32" s="178">
        <v>0</v>
      </c>
      <c r="K32" s="178">
        <v>0</v>
      </c>
      <c r="L32" s="178">
        <v>168</v>
      </c>
      <c r="M32" s="178">
        <v>854</v>
      </c>
      <c r="N32" s="179">
        <v>436</v>
      </c>
      <c r="O32" s="179">
        <f t="shared" si="2"/>
        <v>1.9587155963302751</v>
      </c>
      <c r="P32" s="179">
        <f t="shared" si="3"/>
        <v>2350.45871559633</v>
      </c>
      <c r="Q32" s="179">
        <f t="shared" si="4"/>
        <v>23504.587155963301</v>
      </c>
      <c r="R32" s="179">
        <f t="shared" si="5"/>
        <v>728618.69724770635</v>
      </c>
      <c r="S32" s="180">
        <f t="shared" si="6"/>
        <v>10248</v>
      </c>
      <c r="T32" s="167" t="s">
        <v>316</v>
      </c>
      <c r="U32" s="168"/>
      <c r="V32" s="200">
        <v>30.998999999999999</v>
      </c>
      <c r="W32" s="167"/>
      <c r="X32" s="167" t="s">
        <v>334</v>
      </c>
      <c r="Y32" s="186" t="s">
        <v>317</v>
      </c>
    </row>
    <row r="33" spans="1:25" ht="54">
      <c r="A33" s="214">
        <v>25</v>
      </c>
      <c r="B33" s="219" t="s">
        <v>172</v>
      </c>
      <c r="C33" s="219" t="s">
        <v>173</v>
      </c>
      <c r="D33" s="173">
        <f>2+2994</f>
        <v>2996</v>
      </c>
      <c r="E33" s="174">
        <v>4029</v>
      </c>
      <c r="F33" s="216">
        <v>786</v>
      </c>
      <c r="G33" s="176">
        <f t="shared" si="0"/>
        <v>928.66666666666663</v>
      </c>
      <c r="H33" s="177">
        <f t="shared" si="1"/>
        <v>3.8117048346055982</v>
      </c>
      <c r="I33" s="177">
        <f t="shared" si="1"/>
        <v>4.3384781048097629</v>
      </c>
      <c r="J33" s="178">
        <v>844</v>
      </c>
      <c r="K33" s="178">
        <v>942</v>
      </c>
      <c r="L33" s="178">
        <v>956</v>
      </c>
      <c r="M33" s="178">
        <v>888</v>
      </c>
      <c r="N33" s="189">
        <v>494</v>
      </c>
      <c r="O33" s="179">
        <f t="shared" si="2"/>
        <v>1.7975708502024292</v>
      </c>
      <c r="P33" s="179">
        <f t="shared" si="3"/>
        <v>2157.0850202429151</v>
      </c>
      <c r="Q33" s="179">
        <f t="shared" si="4"/>
        <v>21570.850202429152</v>
      </c>
      <c r="R33" s="179">
        <f t="shared" si="5"/>
        <v>103540.08097165993</v>
      </c>
      <c r="S33" s="180">
        <f t="shared" si="6"/>
        <v>11144</v>
      </c>
      <c r="T33" s="192">
        <f t="shared" si="8"/>
        <v>7115</v>
      </c>
      <c r="U33" s="168">
        <v>6051</v>
      </c>
      <c r="V33" s="220">
        <v>4.8</v>
      </c>
      <c r="W33" s="209">
        <f>U33*V33</f>
        <v>29044.799999999999</v>
      </c>
      <c r="X33" s="221" t="s">
        <v>335</v>
      </c>
      <c r="Y33" s="167" t="s">
        <v>315</v>
      </c>
    </row>
    <row r="34" spans="1:25" ht="90">
      <c r="A34" s="214">
        <v>26</v>
      </c>
      <c r="B34" s="215" t="s">
        <v>174</v>
      </c>
      <c r="C34" s="215" t="s">
        <v>175</v>
      </c>
      <c r="D34" s="173">
        <v>388</v>
      </c>
      <c r="E34" s="174">
        <v>1362</v>
      </c>
      <c r="F34" s="216">
        <v>352</v>
      </c>
      <c r="G34" s="176">
        <f t="shared" si="0"/>
        <v>314</v>
      </c>
      <c r="H34" s="177">
        <f t="shared" si="1"/>
        <v>1.1022727272727273</v>
      </c>
      <c r="I34" s="177">
        <f t="shared" si="1"/>
        <v>4.3375796178343951</v>
      </c>
      <c r="J34" s="178">
        <v>258</v>
      </c>
      <c r="K34" s="178">
        <v>320</v>
      </c>
      <c r="L34" s="178">
        <v>340</v>
      </c>
      <c r="M34" s="178">
        <v>282</v>
      </c>
      <c r="N34" s="179">
        <v>157</v>
      </c>
      <c r="O34" s="179">
        <f t="shared" si="2"/>
        <v>1.7961783439490446</v>
      </c>
      <c r="P34" s="179">
        <f t="shared" si="3"/>
        <v>2155.4140127388537</v>
      </c>
      <c r="Q34" s="179">
        <f t="shared" si="4"/>
        <v>21554.140127388535</v>
      </c>
      <c r="R34" s="179">
        <f t="shared" si="5"/>
        <v>1714804.2802547773</v>
      </c>
      <c r="S34" s="180">
        <f t="shared" si="6"/>
        <v>3768</v>
      </c>
      <c r="T34" s="192">
        <f t="shared" si="8"/>
        <v>2406</v>
      </c>
      <c r="U34" s="168">
        <v>2028</v>
      </c>
      <c r="V34" s="208">
        <v>79.558000000000007</v>
      </c>
      <c r="W34" s="209">
        <f>V34*U34</f>
        <v>161343.62400000001</v>
      </c>
      <c r="X34" s="167" t="s">
        <v>332</v>
      </c>
      <c r="Y34" s="167" t="s">
        <v>315</v>
      </c>
    </row>
    <row r="35" spans="1:25" ht="174.75" customHeight="1">
      <c r="A35" s="214">
        <v>27</v>
      </c>
      <c r="B35" s="215" t="s">
        <v>176</v>
      </c>
      <c r="C35" s="215" t="s">
        <v>177</v>
      </c>
      <c r="D35" s="173">
        <v>385</v>
      </c>
      <c r="E35" s="174">
        <v>10436</v>
      </c>
      <c r="F35" s="216">
        <v>625</v>
      </c>
      <c r="G35" s="176">
        <f t="shared" si="0"/>
        <v>773</v>
      </c>
      <c r="H35" s="177">
        <f t="shared" si="1"/>
        <v>0.61599999999999999</v>
      </c>
      <c r="I35" s="177">
        <f t="shared" si="1"/>
        <v>13.500646830530401</v>
      </c>
      <c r="J35" s="178">
        <v>827</v>
      </c>
      <c r="K35" s="178">
        <v>753</v>
      </c>
      <c r="L35" s="178">
        <v>1084</v>
      </c>
      <c r="M35" s="178">
        <v>482</v>
      </c>
      <c r="N35" s="189">
        <v>34</v>
      </c>
      <c r="O35" s="179">
        <f t="shared" si="2"/>
        <v>14.176470588235293</v>
      </c>
      <c r="P35" s="179">
        <f t="shared" si="3"/>
        <v>17011.764705882353</v>
      </c>
      <c r="Q35" s="179">
        <f t="shared" si="4"/>
        <v>170117.64705882352</v>
      </c>
      <c r="R35" s="179">
        <f t="shared" si="5"/>
        <v>62909.50588235294</v>
      </c>
      <c r="S35" s="180">
        <f t="shared" si="6"/>
        <v>9276</v>
      </c>
      <c r="T35" s="192">
        <f t="shared" si="8"/>
        <v>-1160.0000000000005</v>
      </c>
      <c r="U35" s="168">
        <v>10000</v>
      </c>
      <c r="V35" s="210">
        <v>0.36980000000000002</v>
      </c>
      <c r="W35" s="210">
        <f>V35*U35</f>
        <v>3698</v>
      </c>
      <c r="X35" s="167" t="s">
        <v>336</v>
      </c>
      <c r="Y35" s="167" t="s">
        <v>315</v>
      </c>
    </row>
    <row r="36" spans="1:25" ht="79.5" customHeight="1">
      <c r="A36" s="222">
        <v>28</v>
      </c>
      <c r="B36" s="223" t="s">
        <v>178</v>
      </c>
      <c r="C36" s="224" t="s">
        <v>179</v>
      </c>
      <c r="D36" s="174">
        <v>219900</v>
      </c>
      <c r="E36" s="174">
        <v>438731</v>
      </c>
      <c r="F36" s="216">
        <v>10000</v>
      </c>
      <c r="G36" s="176">
        <f>(L36+M36)/2</f>
        <v>37379</v>
      </c>
      <c r="H36" s="177">
        <f t="shared" si="1"/>
        <v>21.99</v>
      </c>
      <c r="I36" s="177">
        <f t="shared" si="1"/>
        <v>11.737365900639396</v>
      </c>
      <c r="J36" s="178">
        <v>0</v>
      </c>
      <c r="K36" s="178">
        <v>12111</v>
      </c>
      <c r="L36" s="178">
        <v>37545</v>
      </c>
      <c r="M36" s="178">
        <v>37213</v>
      </c>
      <c r="N36" s="179">
        <v>270</v>
      </c>
      <c r="O36" s="179">
        <f t="shared" si="2"/>
        <v>137.82592592592593</v>
      </c>
      <c r="P36" s="179">
        <f t="shared" si="3"/>
        <v>165391.11111111112</v>
      </c>
      <c r="Q36" s="179">
        <f t="shared" si="4"/>
        <v>1653911.1111111112</v>
      </c>
      <c r="R36" s="179">
        <f t="shared" si="5"/>
        <v>959268.4444444445</v>
      </c>
      <c r="S36" s="180">
        <f t="shared" si="6"/>
        <v>448548</v>
      </c>
      <c r="T36" s="167" t="s">
        <v>316</v>
      </c>
      <c r="U36" s="168"/>
      <c r="V36" s="225">
        <v>0.57999999999999996</v>
      </c>
      <c r="W36" s="167"/>
      <c r="X36" s="167" t="s">
        <v>326</v>
      </c>
      <c r="Y36" s="167" t="s">
        <v>337</v>
      </c>
    </row>
    <row r="37" spans="1:25" ht="79.5" customHeight="1">
      <c r="A37" s="222">
        <v>29</v>
      </c>
      <c r="B37" s="223" t="s">
        <v>180</v>
      </c>
      <c r="C37" s="224" t="s">
        <v>181</v>
      </c>
      <c r="D37" s="174">
        <v>141700</v>
      </c>
      <c r="E37" s="174">
        <v>236764</v>
      </c>
      <c r="F37" s="216">
        <v>18200</v>
      </c>
      <c r="G37" s="176">
        <f t="shared" ref="G37:G43" si="9">(L37+M37)/2</f>
        <v>11757</v>
      </c>
      <c r="H37" s="177">
        <f t="shared" si="1"/>
        <v>7.7857142857142856</v>
      </c>
      <c r="I37" s="177">
        <f t="shared" si="1"/>
        <v>20.138130475461427</v>
      </c>
      <c r="J37" s="178">
        <v>0</v>
      </c>
      <c r="K37" s="178">
        <v>2522</v>
      </c>
      <c r="L37" s="178">
        <v>11386</v>
      </c>
      <c r="M37" s="178">
        <v>12128</v>
      </c>
      <c r="N37" s="179">
        <v>72</v>
      </c>
      <c r="O37" s="179">
        <f t="shared" si="2"/>
        <v>168.44444444444446</v>
      </c>
      <c r="P37" s="179">
        <f t="shared" si="3"/>
        <v>202133.33333333334</v>
      </c>
      <c r="Q37" s="179">
        <f t="shared" si="4"/>
        <v>2021333.3333333335</v>
      </c>
      <c r="R37" s="179">
        <f t="shared" si="5"/>
        <v>788320.00000000012</v>
      </c>
      <c r="S37" s="180">
        <f t="shared" si="6"/>
        <v>141084</v>
      </c>
      <c r="T37" s="167" t="s">
        <v>316</v>
      </c>
      <c r="U37" s="168"/>
      <c r="V37" s="225">
        <v>0.39</v>
      </c>
      <c r="W37" s="167"/>
      <c r="X37" s="167" t="s">
        <v>326</v>
      </c>
      <c r="Y37" s="167" t="s">
        <v>337</v>
      </c>
    </row>
    <row r="38" spans="1:25" ht="79.5" customHeight="1">
      <c r="A38" s="226">
        <v>30</v>
      </c>
      <c r="B38" s="227" t="s">
        <v>182</v>
      </c>
      <c r="C38" s="228" t="s">
        <v>183</v>
      </c>
      <c r="D38" s="174">
        <v>1778440</v>
      </c>
      <c r="E38" s="174">
        <v>1889838</v>
      </c>
      <c r="F38" s="216">
        <v>6000</v>
      </c>
      <c r="G38" s="174">
        <v>16679</v>
      </c>
      <c r="H38" s="177">
        <f t="shared" si="1"/>
        <v>296.40666666666669</v>
      </c>
      <c r="I38" s="177">
        <f t="shared" si="1"/>
        <v>113.30643323940284</v>
      </c>
      <c r="J38" s="178">
        <v>0</v>
      </c>
      <c r="K38" s="178">
        <v>2254</v>
      </c>
      <c r="L38" s="178">
        <v>9669</v>
      </c>
      <c r="M38" s="178">
        <v>16679</v>
      </c>
      <c r="N38" s="198">
        <v>98</v>
      </c>
      <c r="O38" s="179">
        <f t="shared" si="2"/>
        <v>170.19387755102042</v>
      </c>
      <c r="P38" s="179">
        <f t="shared" si="3"/>
        <v>204232.6530612245</v>
      </c>
      <c r="Q38" s="179">
        <f t="shared" si="4"/>
        <v>2042326.530612245</v>
      </c>
      <c r="R38" s="179">
        <f t="shared" si="5"/>
        <v>1435755.551020408</v>
      </c>
      <c r="S38" s="180">
        <f t="shared" si="6"/>
        <v>200148</v>
      </c>
      <c r="T38" s="167" t="s">
        <v>316</v>
      </c>
      <c r="U38" s="168"/>
      <c r="V38" s="229">
        <v>0.70299999999999996</v>
      </c>
      <c r="W38" s="167"/>
      <c r="X38" s="167" t="s">
        <v>326</v>
      </c>
      <c r="Y38" s="167" t="s">
        <v>331</v>
      </c>
    </row>
    <row r="39" spans="1:25" ht="79.5" customHeight="1">
      <c r="A39" s="226">
        <v>31</v>
      </c>
      <c r="B39" s="227" t="s">
        <v>184</v>
      </c>
      <c r="C39" s="228" t="s">
        <v>185</v>
      </c>
      <c r="D39" s="174">
        <v>912700</v>
      </c>
      <c r="E39" s="174">
        <v>1057995</v>
      </c>
      <c r="F39" s="216">
        <v>21750</v>
      </c>
      <c r="G39" s="174">
        <v>42380</v>
      </c>
      <c r="H39" s="177">
        <f t="shared" si="1"/>
        <v>41.963218390804599</v>
      </c>
      <c r="I39" s="177">
        <f t="shared" si="1"/>
        <v>24.964487966021707</v>
      </c>
      <c r="J39" s="178">
        <v>0</v>
      </c>
      <c r="K39" s="178">
        <v>3581</v>
      </c>
      <c r="L39" s="178">
        <v>29394</v>
      </c>
      <c r="M39" s="178">
        <v>42380</v>
      </c>
      <c r="N39" s="198">
        <v>168</v>
      </c>
      <c r="O39" s="179">
        <f t="shared" si="2"/>
        <v>252.26190476190476</v>
      </c>
      <c r="P39" s="179">
        <f t="shared" si="3"/>
        <v>302714.28571428574</v>
      </c>
      <c r="Q39" s="179">
        <f t="shared" si="4"/>
        <v>3027142.8571428573</v>
      </c>
      <c r="R39" s="179">
        <f t="shared" si="5"/>
        <v>210689.14285714284</v>
      </c>
      <c r="S39" s="180">
        <f t="shared" si="6"/>
        <v>508560</v>
      </c>
      <c r="T39" s="167" t="s">
        <v>316</v>
      </c>
      <c r="U39" s="168"/>
      <c r="V39" s="230">
        <v>6.9599999999999995E-2</v>
      </c>
      <c r="W39" s="167"/>
      <c r="X39" s="167" t="s">
        <v>326</v>
      </c>
      <c r="Y39" s="167" t="s">
        <v>337</v>
      </c>
    </row>
    <row r="40" spans="1:25" ht="79.5" customHeight="1">
      <c r="A40" s="231">
        <v>32</v>
      </c>
      <c r="B40" s="227" t="s">
        <v>186</v>
      </c>
      <c r="C40" s="228" t="s">
        <v>187</v>
      </c>
      <c r="D40" s="174">
        <v>124900</v>
      </c>
      <c r="E40" s="174">
        <v>253716</v>
      </c>
      <c r="F40" s="216">
        <v>0</v>
      </c>
      <c r="G40" s="176">
        <f t="shared" si="9"/>
        <v>4496</v>
      </c>
      <c r="H40" s="177" t="e">
        <f t="shared" si="1"/>
        <v>#DIV/0!</v>
      </c>
      <c r="I40" s="177">
        <f t="shared" si="1"/>
        <v>56.431494661921711</v>
      </c>
      <c r="J40" s="178">
        <v>0</v>
      </c>
      <c r="K40" s="178">
        <v>92</v>
      </c>
      <c r="L40" s="178">
        <v>5662</v>
      </c>
      <c r="M40" s="178">
        <v>3330</v>
      </c>
      <c r="N40" s="179">
        <v>24</v>
      </c>
      <c r="O40" s="179">
        <f t="shared" si="2"/>
        <v>138.75</v>
      </c>
      <c r="P40" s="179">
        <f t="shared" si="3"/>
        <v>166500</v>
      </c>
      <c r="Q40" s="179">
        <f t="shared" si="4"/>
        <v>1665000</v>
      </c>
      <c r="R40" s="179">
        <f t="shared" si="5"/>
        <v>329152.55129999999</v>
      </c>
      <c r="S40" s="180">
        <f t="shared" si="6"/>
        <v>53952</v>
      </c>
      <c r="T40" s="167" t="s">
        <v>316</v>
      </c>
      <c r="U40" s="168"/>
      <c r="V40" s="230">
        <f>0.0653*3.0274</f>
        <v>0.19768922</v>
      </c>
      <c r="W40" s="167"/>
      <c r="X40" s="167" t="s">
        <v>326</v>
      </c>
      <c r="Y40" s="167" t="s">
        <v>331</v>
      </c>
    </row>
    <row r="41" spans="1:25" ht="79.5" customHeight="1">
      <c r="A41" s="232"/>
      <c r="B41" s="227" t="s">
        <v>188</v>
      </c>
      <c r="C41" s="228" t="s">
        <v>189</v>
      </c>
      <c r="D41" s="174">
        <v>761670</v>
      </c>
      <c r="E41" s="174">
        <v>885942</v>
      </c>
      <c r="F41" s="216">
        <v>7650</v>
      </c>
      <c r="G41" s="176">
        <f t="shared" si="9"/>
        <v>11841</v>
      </c>
      <c r="H41" s="177">
        <f t="shared" si="1"/>
        <v>99.564705882352939</v>
      </c>
      <c r="I41" s="177">
        <f t="shared" si="1"/>
        <v>74.819863187230808</v>
      </c>
      <c r="J41" s="178">
        <v>0</v>
      </c>
      <c r="K41" s="178">
        <v>276</v>
      </c>
      <c r="L41" s="178">
        <v>11673</v>
      </c>
      <c r="M41" s="178">
        <v>12009</v>
      </c>
      <c r="N41" s="179">
        <v>79</v>
      </c>
      <c r="O41" s="179">
        <f t="shared" si="2"/>
        <v>152.01265822784811</v>
      </c>
      <c r="P41" s="179">
        <f t="shared" si="3"/>
        <v>182415.18987341772</v>
      </c>
      <c r="Q41" s="179">
        <f t="shared" si="4"/>
        <v>1824151.8987341772</v>
      </c>
      <c r="R41" s="179">
        <f t="shared" si="5"/>
        <v>503094.05244455702</v>
      </c>
      <c r="S41" s="180">
        <f t="shared" si="6"/>
        <v>142092</v>
      </c>
      <c r="T41" s="167" t="s">
        <v>316</v>
      </c>
      <c r="U41" s="168"/>
      <c r="V41" s="230">
        <f>0.0911*3.0274</f>
        <v>0.27579614000000002</v>
      </c>
      <c r="W41" s="167"/>
      <c r="X41" s="167" t="s">
        <v>326</v>
      </c>
      <c r="Y41" s="167" t="s">
        <v>331</v>
      </c>
    </row>
    <row r="42" spans="1:25" ht="79.5" customHeight="1">
      <c r="A42" s="231">
        <v>33</v>
      </c>
      <c r="B42" s="227" t="s">
        <v>190</v>
      </c>
      <c r="C42" s="228" t="s">
        <v>191</v>
      </c>
      <c r="D42" s="174">
        <v>409260</v>
      </c>
      <c r="E42" s="174">
        <v>456313</v>
      </c>
      <c r="F42" s="216">
        <v>600</v>
      </c>
      <c r="G42" s="176">
        <f t="shared" si="9"/>
        <v>1793.5</v>
      </c>
      <c r="H42" s="177">
        <f t="shared" si="1"/>
        <v>682.1</v>
      </c>
      <c r="I42" s="177">
        <f t="shared" si="1"/>
        <v>254.42598271536102</v>
      </c>
      <c r="J42" s="178">
        <v>0</v>
      </c>
      <c r="K42" s="178"/>
      <c r="L42" s="178">
        <v>1803</v>
      </c>
      <c r="M42" s="178">
        <v>1784</v>
      </c>
      <c r="N42" s="179">
        <v>16</v>
      </c>
      <c r="O42" s="179">
        <f t="shared" si="2"/>
        <v>111.5</v>
      </c>
      <c r="P42" s="179">
        <f t="shared" si="3"/>
        <v>133800</v>
      </c>
      <c r="Q42" s="179">
        <f t="shared" si="4"/>
        <v>1338000</v>
      </c>
      <c r="R42" s="179">
        <f t="shared" si="5"/>
        <v>1464173.4000000001</v>
      </c>
      <c r="S42" s="180">
        <f t="shared" si="6"/>
        <v>21522</v>
      </c>
      <c r="T42" s="167" t="s">
        <v>316</v>
      </c>
      <c r="U42" s="168"/>
      <c r="V42" s="230">
        <v>1.0943000000000001</v>
      </c>
      <c r="W42" s="167"/>
      <c r="X42" s="167" t="s">
        <v>326</v>
      </c>
      <c r="Y42" s="167" t="s">
        <v>331</v>
      </c>
    </row>
    <row r="43" spans="1:25" ht="79.5" customHeight="1">
      <c r="A43" s="232"/>
      <c r="B43" s="227" t="s">
        <v>192</v>
      </c>
      <c r="C43" s="228" t="s">
        <v>193</v>
      </c>
      <c r="D43" s="174">
        <v>155040</v>
      </c>
      <c r="E43" s="174">
        <v>187859</v>
      </c>
      <c r="F43" s="216">
        <v>6450</v>
      </c>
      <c r="G43" s="176">
        <f t="shared" si="9"/>
        <v>4125.5</v>
      </c>
      <c r="H43" s="177">
        <f t="shared" si="1"/>
        <v>24.037209302325582</v>
      </c>
      <c r="I43" s="177">
        <f t="shared" si="1"/>
        <v>45.536056235607802</v>
      </c>
      <c r="J43" s="178">
        <v>0</v>
      </c>
      <c r="K43" s="178">
        <v>990</v>
      </c>
      <c r="L43" s="178">
        <v>2878</v>
      </c>
      <c r="M43" s="178">
        <v>5373</v>
      </c>
      <c r="N43" s="179">
        <v>23</v>
      </c>
      <c r="O43" s="179">
        <f t="shared" si="2"/>
        <v>233.60869565217391</v>
      </c>
      <c r="P43" s="179">
        <f t="shared" si="3"/>
        <v>280330.4347826087</v>
      </c>
      <c r="Q43" s="179">
        <f t="shared" si="4"/>
        <v>2803304.3478260869</v>
      </c>
      <c r="R43" s="179">
        <f t="shared" si="5"/>
        <v>1037222.6086956521</v>
      </c>
      <c r="S43" s="180">
        <f t="shared" si="6"/>
        <v>49506</v>
      </c>
      <c r="T43" s="167" t="s">
        <v>316</v>
      </c>
      <c r="U43" s="168"/>
      <c r="V43" s="225">
        <v>0.37</v>
      </c>
      <c r="W43" s="167"/>
      <c r="X43" s="167" t="s">
        <v>326</v>
      </c>
      <c r="Y43" s="167" t="s">
        <v>331</v>
      </c>
    </row>
    <row r="44" spans="1:25" ht="33" customHeight="1">
      <c r="M44" s="235"/>
      <c r="N44" s="235"/>
      <c r="O44" s="235"/>
      <c r="P44" s="179">
        <f t="shared" si="3"/>
        <v>0</v>
      </c>
      <c r="Q44" s="179">
        <f t="shared" si="4"/>
        <v>0</v>
      </c>
      <c r="R44" s="179">
        <f>SUM(R3:R43)</f>
        <v>15345556.832554443</v>
      </c>
      <c r="U44" s="236">
        <f>SUM(W3:W43)</f>
        <v>1510905.8244000003</v>
      </c>
      <c r="V44" s="236"/>
      <c r="W44" s="236"/>
    </row>
    <row r="45" spans="1:25">
      <c r="M45" s="235"/>
      <c r="N45" s="235"/>
      <c r="O45" s="235"/>
      <c r="P45" s="235"/>
      <c r="Q45" s="235"/>
      <c r="R45" s="235"/>
    </row>
    <row r="46" spans="1:25">
      <c r="B46" s="233" t="s">
        <v>312</v>
      </c>
      <c r="M46" s="235"/>
      <c r="N46" s="235"/>
      <c r="O46" s="235"/>
      <c r="P46" s="235"/>
      <c r="Q46" s="235"/>
      <c r="R46" s="235"/>
    </row>
    <row r="47" spans="1:25" ht="39" customHeight="1">
      <c r="B47" s="239" t="s">
        <v>338</v>
      </c>
      <c r="C47" s="239"/>
      <c r="D47" s="239"/>
      <c r="E47" s="239"/>
      <c r="F47" s="239"/>
      <c r="G47" s="239"/>
      <c r="H47" s="239"/>
      <c r="I47" s="239"/>
    </row>
    <row r="48" spans="1:25">
      <c r="B48" s="240"/>
      <c r="C48" s="240"/>
      <c r="D48" s="240"/>
      <c r="E48" s="240"/>
      <c r="F48" s="240"/>
      <c r="G48" s="240"/>
      <c r="H48" s="240"/>
      <c r="I48" s="240"/>
    </row>
    <row r="49" spans="2:9" ht="32.25" customHeight="1">
      <c r="B49" s="241" t="s">
        <v>339</v>
      </c>
      <c r="C49" s="241"/>
      <c r="D49" s="241"/>
      <c r="E49" s="241"/>
      <c r="F49" s="241"/>
      <c r="G49" s="241"/>
      <c r="H49" s="241"/>
      <c r="I49" s="241"/>
    </row>
    <row r="51" spans="2:9" ht="47.25" customHeight="1">
      <c r="B51" s="242" t="s">
        <v>340</v>
      </c>
      <c r="C51" s="242"/>
      <c r="D51" s="242"/>
      <c r="E51" s="242"/>
      <c r="F51" s="242"/>
      <c r="G51" s="242"/>
      <c r="H51" s="242"/>
      <c r="I51" s="242"/>
    </row>
    <row r="52" spans="2:9" ht="31.5" customHeight="1">
      <c r="B52" s="243" t="s">
        <v>341</v>
      </c>
      <c r="C52" s="243"/>
      <c r="D52" s="243"/>
      <c r="E52" s="243"/>
      <c r="F52" s="243"/>
      <c r="G52" s="243"/>
      <c r="H52" s="243"/>
      <c r="I52" s="243"/>
    </row>
    <row r="54" spans="2:9" ht="35.25" customHeight="1">
      <c r="B54" s="242" t="s">
        <v>342</v>
      </c>
      <c r="C54" s="242"/>
      <c r="D54" s="242"/>
      <c r="E54" s="242"/>
      <c r="F54" s="242"/>
      <c r="G54" s="242"/>
      <c r="H54" s="242"/>
      <c r="I54" s="242"/>
    </row>
  </sheetData>
  <mergeCells count="13">
    <mergeCell ref="B54:I54"/>
    <mergeCell ref="A42:A43"/>
    <mergeCell ref="U44:W44"/>
    <mergeCell ref="B47:I47"/>
    <mergeCell ref="B49:I49"/>
    <mergeCell ref="B51:I51"/>
    <mergeCell ref="B52:I52"/>
    <mergeCell ref="A3:A4"/>
    <mergeCell ref="A15:A17"/>
    <mergeCell ref="A18:A19"/>
    <mergeCell ref="A23:A24"/>
    <mergeCell ref="A31:A32"/>
    <mergeCell ref="A40:A4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abSelected="1" workbookViewId="0">
      <selection activeCell="U23" sqref="U23"/>
    </sheetView>
  </sheetViews>
  <sheetFormatPr defaultRowHeight="15"/>
  <cols>
    <col min="1" max="1" width="16" style="23" customWidth="1"/>
    <col min="2" max="2" width="26.42578125" style="7" customWidth="1"/>
    <col min="3" max="3" width="21.140625" style="53" hidden="1" customWidth="1"/>
    <col min="4" max="4" width="21.140625" style="54" customWidth="1"/>
    <col min="5" max="5" width="18.85546875" style="1" hidden="1" customWidth="1"/>
    <col min="6" max="6" width="9.140625" style="1" customWidth="1"/>
    <col min="7" max="8" width="10" style="1" bestFit="1" customWidth="1"/>
    <col min="9" max="9" width="13.140625" style="1" customWidth="1"/>
    <col min="10" max="10" width="9.140625" style="1" customWidth="1"/>
    <col min="11" max="11" width="15.28515625" style="29" customWidth="1"/>
    <col min="12" max="12" width="19.85546875" style="246" customWidth="1"/>
    <col min="13" max="13" width="13.5703125" style="1" customWidth="1"/>
    <col min="14" max="14" width="12.5703125" style="29" customWidth="1"/>
    <col min="15" max="15" width="9.140625" style="1"/>
    <col min="16" max="16" width="0" style="29" hidden="1" customWidth="1"/>
    <col min="17" max="17" width="14.7109375" style="1" hidden="1" customWidth="1"/>
    <col min="18" max="203" width="9.140625" style="1"/>
    <col min="204" max="204" width="3.7109375" style="1" customWidth="1"/>
    <col min="205" max="205" width="12.85546875" style="1" customWidth="1"/>
    <col min="206" max="206" width="37.5703125" style="1" bestFit="1" customWidth="1"/>
    <col min="207" max="207" width="13.85546875" style="1" customWidth="1"/>
    <col min="208" max="208" width="13" style="1" customWidth="1"/>
    <col min="209" max="209" width="13.42578125" style="1" customWidth="1"/>
    <col min="210" max="210" width="11.28515625" style="1" customWidth="1"/>
    <col min="211" max="211" width="20.85546875" style="1" bestFit="1" customWidth="1"/>
    <col min="212" max="212" width="13.28515625" style="1" customWidth="1"/>
    <col min="213" max="213" width="19.7109375" style="1" customWidth="1"/>
    <col min="214" max="214" width="11.5703125" style="1" customWidth="1"/>
    <col min="215" max="215" width="23.28515625" style="1" customWidth="1"/>
    <col min="216" max="216" width="15.5703125" style="1" customWidth="1"/>
    <col min="217" max="459" width="9.140625" style="1"/>
    <col min="460" max="460" width="3.7109375" style="1" customWidth="1"/>
    <col min="461" max="461" width="12.85546875" style="1" customWidth="1"/>
    <col min="462" max="462" width="37.5703125" style="1" bestFit="1" customWidth="1"/>
    <col min="463" max="463" width="13.85546875" style="1" customWidth="1"/>
    <col min="464" max="464" width="13" style="1" customWidth="1"/>
    <col min="465" max="465" width="13.42578125" style="1" customWidth="1"/>
    <col min="466" max="466" width="11.28515625" style="1" customWidth="1"/>
    <col min="467" max="467" width="20.85546875" style="1" bestFit="1" customWidth="1"/>
    <col min="468" max="468" width="13.28515625" style="1" customWidth="1"/>
    <col min="469" max="469" width="19.7109375" style="1" customWidth="1"/>
    <col min="470" max="470" width="11.5703125" style="1" customWidth="1"/>
    <col min="471" max="471" width="23.28515625" style="1" customWidth="1"/>
    <col min="472" max="472" width="15.5703125" style="1" customWidth="1"/>
    <col min="473" max="715" width="9.140625" style="1"/>
    <col min="716" max="716" width="3.7109375" style="1" customWidth="1"/>
    <col min="717" max="717" width="12.85546875" style="1" customWidth="1"/>
    <col min="718" max="718" width="37.5703125" style="1" bestFit="1" customWidth="1"/>
    <col min="719" max="719" width="13.85546875" style="1" customWidth="1"/>
    <col min="720" max="720" width="13" style="1" customWidth="1"/>
    <col min="721" max="721" width="13.42578125" style="1" customWidth="1"/>
    <col min="722" max="722" width="11.28515625" style="1" customWidth="1"/>
    <col min="723" max="723" width="20.85546875" style="1" bestFit="1" customWidth="1"/>
    <col min="724" max="724" width="13.28515625" style="1" customWidth="1"/>
    <col min="725" max="725" width="19.7109375" style="1" customWidth="1"/>
    <col min="726" max="726" width="11.5703125" style="1" customWidth="1"/>
    <col min="727" max="727" width="23.28515625" style="1" customWidth="1"/>
    <col min="728" max="728" width="15.5703125" style="1" customWidth="1"/>
    <col min="729" max="971" width="9.140625" style="1"/>
    <col min="972" max="972" width="3.7109375" style="1" customWidth="1"/>
    <col min="973" max="973" width="12.85546875" style="1" customWidth="1"/>
    <col min="974" max="974" width="37.5703125" style="1" bestFit="1" customWidth="1"/>
    <col min="975" max="975" width="13.85546875" style="1" customWidth="1"/>
    <col min="976" max="976" width="13" style="1" customWidth="1"/>
    <col min="977" max="977" width="13.42578125" style="1" customWidth="1"/>
    <col min="978" max="978" width="11.28515625" style="1" customWidth="1"/>
    <col min="979" max="979" width="20.85546875" style="1" bestFit="1" customWidth="1"/>
    <col min="980" max="980" width="13.28515625" style="1" customWidth="1"/>
    <col min="981" max="981" width="19.7109375" style="1" customWidth="1"/>
    <col min="982" max="982" width="11.5703125" style="1" customWidth="1"/>
    <col min="983" max="983" width="23.28515625" style="1" customWidth="1"/>
    <col min="984" max="984" width="15.5703125" style="1" customWidth="1"/>
    <col min="985" max="1227" width="9.140625" style="1"/>
    <col min="1228" max="1228" width="3.7109375" style="1" customWidth="1"/>
    <col min="1229" max="1229" width="12.85546875" style="1" customWidth="1"/>
    <col min="1230" max="1230" width="37.5703125" style="1" bestFit="1" customWidth="1"/>
    <col min="1231" max="1231" width="13.85546875" style="1" customWidth="1"/>
    <col min="1232" max="1232" width="13" style="1" customWidth="1"/>
    <col min="1233" max="1233" width="13.42578125" style="1" customWidth="1"/>
    <col min="1234" max="1234" width="11.28515625" style="1" customWidth="1"/>
    <col min="1235" max="1235" width="20.85546875" style="1" bestFit="1" customWidth="1"/>
    <col min="1236" max="1236" width="13.28515625" style="1" customWidth="1"/>
    <col min="1237" max="1237" width="19.7109375" style="1" customWidth="1"/>
    <col min="1238" max="1238" width="11.5703125" style="1" customWidth="1"/>
    <col min="1239" max="1239" width="23.28515625" style="1" customWidth="1"/>
    <col min="1240" max="1240" width="15.5703125" style="1" customWidth="1"/>
    <col min="1241" max="1483" width="9.140625" style="1"/>
    <col min="1484" max="1484" width="3.7109375" style="1" customWidth="1"/>
    <col min="1485" max="1485" width="12.85546875" style="1" customWidth="1"/>
    <col min="1486" max="1486" width="37.5703125" style="1" bestFit="1" customWidth="1"/>
    <col min="1487" max="1487" width="13.85546875" style="1" customWidth="1"/>
    <col min="1488" max="1488" width="13" style="1" customWidth="1"/>
    <col min="1489" max="1489" width="13.42578125" style="1" customWidth="1"/>
    <col min="1490" max="1490" width="11.28515625" style="1" customWidth="1"/>
    <col min="1491" max="1491" width="20.85546875" style="1" bestFit="1" customWidth="1"/>
    <col min="1492" max="1492" width="13.28515625" style="1" customWidth="1"/>
    <col min="1493" max="1493" width="19.7109375" style="1" customWidth="1"/>
    <col min="1494" max="1494" width="11.5703125" style="1" customWidth="1"/>
    <col min="1495" max="1495" width="23.28515625" style="1" customWidth="1"/>
    <col min="1496" max="1496" width="15.5703125" style="1" customWidth="1"/>
    <col min="1497" max="1739" width="9.140625" style="1"/>
    <col min="1740" max="1740" width="3.7109375" style="1" customWidth="1"/>
    <col min="1741" max="1741" width="12.85546875" style="1" customWidth="1"/>
    <col min="1742" max="1742" width="37.5703125" style="1" bestFit="1" customWidth="1"/>
    <col min="1743" max="1743" width="13.85546875" style="1" customWidth="1"/>
    <col min="1744" max="1744" width="13" style="1" customWidth="1"/>
    <col min="1745" max="1745" width="13.42578125" style="1" customWidth="1"/>
    <col min="1746" max="1746" width="11.28515625" style="1" customWidth="1"/>
    <col min="1747" max="1747" width="20.85546875" style="1" bestFit="1" customWidth="1"/>
    <col min="1748" max="1748" width="13.28515625" style="1" customWidth="1"/>
    <col min="1749" max="1749" width="19.7109375" style="1" customWidth="1"/>
    <col min="1750" max="1750" width="11.5703125" style="1" customWidth="1"/>
    <col min="1751" max="1751" width="23.28515625" style="1" customWidth="1"/>
    <col min="1752" max="1752" width="15.5703125" style="1" customWidth="1"/>
    <col min="1753" max="1995" width="9.140625" style="1"/>
    <col min="1996" max="1996" width="3.7109375" style="1" customWidth="1"/>
    <col min="1997" max="1997" width="12.85546875" style="1" customWidth="1"/>
    <col min="1998" max="1998" width="37.5703125" style="1" bestFit="1" customWidth="1"/>
    <col min="1999" max="1999" width="13.85546875" style="1" customWidth="1"/>
    <col min="2000" max="2000" width="13" style="1" customWidth="1"/>
    <col min="2001" max="2001" width="13.42578125" style="1" customWidth="1"/>
    <col min="2002" max="2002" width="11.28515625" style="1" customWidth="1"/>
    <col min="2003" max="2003" width="20.85546875" style="1" bestFit="1" customWidth="1"/>
    <col min="2004" max="2004" width="13.28515625" style="1" customWidth="1"/>
    <col min="2005" max="2005" width="19.7109375" style="1" customWidth="1"/>
    <col min="2006" max="2006" width="11.5703125" style="1" customWidth="1"/>
    <col min="2007" max="2007" width="23.28515625" style="1" customWidth="1"/>
    <col min="2008" max="2008" width="15.5703125" style="1" customWidth="1"/>
    <col min="2009" max="2251" width="9.140625" style="1"/>
    <col min="2252" max="2252" width="3.7109375" style="1" customWidth="1"/>
    <col min="2253" max="2253" width="12.85546875" style="1" customWidth="1"/>
    <col min="2254" max="2254" width="37.5703125" style="1" bestFit="1" customWidth="1"/>
    <col min="2255" max="2255" width="13.85546875" style="1" customWidth="1"/>
    <col min="2256" max="2256" width="13" style="1" customWidth="1"/>
    <col min="2257" max="2257" width="13.42578125" style="1" customWidth="1"/>
    <col min="2258" max="2258" width="11.28515625" style="1" customWidth="1"/>
    <col min="2259" max="2259" width="20.85546875" style="1" bestFit="1" customWidth="1"/>
    <col min="2260" max="2260" width="13.28515625" style="1" customWidth="1"/>
    <col min="2261" max="2261" width="19.7109375" style="1" customWidth="1"/>
    <col min="2262" max="2262" width="11.5703125" style="1" customWidth="1"/>
    <col min="2263" max="2263" width="23.28515625" style="1" customWidth="1"/>
    <col min="2264" max="2264" width="15.5703125" style="1" customWidth="1"/>
    <col min="2265" max="2507" width="9.140625" style="1"/>
    <col min="2508" max="2508" width="3.7109375" style="1" customWidth="1"/>
    <col min="2509" max="2509" width="12.85546875" style="1" customWidth="1"/>
    <col min="2510" max="2510" width="37.5703125" style="1" bestFit="1" customWidth="1"/>
    <col min="2511" max="2511" width="13.85546875" style="1" customWidth="1"/>
    <col min="2512" max="2512" width="13" style="1" customWidth="1"/>
    <col min="2513" max="2513" width="13.42578125" style="1" customWidth="1"/>
    <col min="2514" max="2514" width="11.28515625" style="1" customWidth="1"/>
    <col min="2515" max="2515" width="20.85546875" style="1" bestFit="1" customWidth="1"/>
    <col min="2516" max="2516" width="13.28515625" style="1" customWidth="1"/>
    <col min="2517" max="2517" width="19.7109375" style="1" customWidth="1"/>
    <col min="2518" max="2518" width="11.5703125" style="1" customWidth="1"/>
    <col min="2519" max="2519" width="23.28515625" style="1" customWidth="1"/>
    <col min="2520" max="2520" width="15.5703125" style="1" customWidth="1"/>
    <col min="2521" max="2763" width="9.140625" style="1"/>
    <col min="2764" max="2764" width="3.7109375" style="1" customWidth="1"/>
    <col min="2765" max="2765" width="12.85546875" style="1" customWidth="1"/>
    <col min="2766" max="2766" width="37.5703125" style="1" bestFit="1" customWidth="1"/>
    <col min="2767" max="2767" width="13.85546875" style="1" customWidth="1"/>
    <col min="2768" max="2768" width="13" style="1" customWidth="1"/>
    <col min="2769" max="2769" width="13.42578125" style="1" customWidth="1"/>
    <col min="2770" max="2770" width="11.28515625" style="1" customWidth="1"/>
    <col min="2771" max="2771" width="20.85546875" style="1" bestFit="1" customWidth="1"/>
    <col min="2772" max="2772" width="13.28515625" style="1" customWidth="1"/>
    <col min="2773" max="2773" width="19.7109375" style="1" customWidth="1"/>
    <col min="2774" max="2774" width="11.5703125" style="1" customWidth="1"/>
    <col min="2775" max="2775" width="23.28515625" style="1" customWidth="1"/>
    <col min="2776" max="2776" width="15.5703125" style="1" customWidth="1"/>
    <col min="2777" max="3019" width="9.140625" style="1"/>
    <col min="3020" max="3020" width="3.7109375" style="1" customWidth="1"/>
    <col min="3021" max="3021" width="12.85546875" style="1" customWidth="1"/>
    <col min="3022" max="3022" width="37.5703125" style="1" bestFit="1" customWidth="1"/>
    <col min="3023" max="3023" width="13.85546875" style="1" customWidth="1"/>
    <col min="3024" max="3024" width="13" style="1" customWidth="1"/>
    <col min="3025" max="3025" width="13.42578125" style="1" customWidth="1"/>
    <col min="3026" max="3026" width="11.28515625" style="1" customWidth="1"/>
    <col min="3027" max="3027" width="20.85546875" style="1" bestFit="1" customWidth="1"/>
    <col min="3028" max="3028" width="13.28515625" style="1" customWidth="1"/>
    <col min="3029" max="3029" width="19.7109375" style="1" customWidth="1"/>
    <col min="3030" max="3030" width="11.5703125" style="1" customWidth="1"/>
    <col min="3031" max="3031" width="23.28515625" style="1" customWidth="1"/>
    <col min="3032" max="3032" width="15.5703125" style="1" customWidth="1"/>
    <col min="3033" max="3275" width="9.140625" style="1"/>
    <col min="3276" max="3276" width="3.7109375" style="1" customWidth="1"/>
    <col min="3277" max="3277" width="12.85546875" style="1" customWidth="1"/>
    <col min="3278" max="3278" width="37.5703125" style="1" bestFit="1" customWidth="1"/>
    <col min="3279" max="3279" width="13.85546875" style="1" customWidth="1"/>
    <col min="3280" max="3280" width="13" style="1" customWidth="1"/>
    <col min="3281" max="3281" width="13.42578125" style="1" customWidth="1"/>
    <col min="3282" max="3282" width="11.28515625" style="1" customWidth="1"/>
    <col min="3283" max="3283" width="20.85546875" style="1" bestFit="1" customWidth="1"/>
    <col min="3284" max="3284" width="13.28515625" style="1" customWidth="1"/>
    <col min="3285" max="3285" width="19.7109375" style="1" customWidth="1"/>
    <col min="3286" max="3286" width="11.5703125" style="1" customWidth="1"/>
    <col min="3287" max="3287" width="23.28515625" style="1" customWidth="1"/>
    <col min="3288" max="3288" width="15.5703125" style="1" customWidth="1"/>
    <col min="3289" max="3531" width="9.140625" style="1"/>
    <col min="3532" max="3532" width="3.7109375" style="1" customWidth="1"/>
    <col min="3533" max="3533" width="12.85546875" style="1" customWidth="1"/>
    <col min="3534" max="3534" width="37.5703125" style="1" bestFit="1" customWidth="1"/>
    <col min="3535" max="3535" width="13.85546875" style="1" customWidth="1"/>
    <col min="3536" max="3536" width="13" style="1" customWidth="1"/>
    <col min="3537" max="3537" width="13.42578125" style="1" customWidth="1"/>
    <col min="3538" max="3538" width="11.28515625" style="1" customWidth="1"/>
    <col min="3539" max="3539" width="20.85546875" style="1" bestFit="1" customWidth="1"/>
    <col min="3540" max="3540" width="13.28515625" style="1" customWidth="1"/>
    <col min="3541" max="3541" width="19.7109375" style="1" customWidth="1"/>
    <col min="3542" max="3542" width="11.5703125" style="1" customWidth="1"/>
    <col min="3543" max="3543" width="23.28515625" style="1" customWidth="1"/>
    <col min="3544" max="3544" width="15.5703125" style="1" customWidth="1"/>
    <col min="3545" max="3787" width="9.140625" style="1"/>
    <col min="3788" max="3788" width="3.7109375" style="1" customWidth="1"/>
    <col min="3789" max="3789" width="12.85546875" style="1" customWidth="1"/>
    <col min="3790" max="3790" width="37.5703125" style="1" bestFit="1" customWidth="1"/>
    <col min="3791" max="3791" width="13.85546875" style="1" customWidth="1"/>
    <col min="3792" max="3792" width="13" style="1" customWidth="1"/>
    <col min="3793" max="3793" width="13.42578125" style="1" customWidth="1"/>
    <col min="3794" max="3794" width="11.28515625" style="1" customWidth="1"/>
    <col min="3795" max="3795" width="20.85546875" style="1" bestFit="1" customWidth="1"/>
    <col min="3796" max="3796" width="13.28515625" style="1" customWidth="1"/>
    <col min="3797" max="3797" width="19.7109375" style="1" customWidth="1"/>
    <col min="3798" max="3798" width="11.5703125" style="1" customWidth="1"/>
    <col min="3799" max="3799" width="23.28515625" style="1" customWidth="1"/>
    <col min="3800" max="3800" width="15.5703125" style="1" customWidth="1"/>
    <col min="3801" max="4043" width="9.140625" style="1"/>
    <col min="4044" max="4044" width="3.7109375" style="1" customWidth="1"/>
    <col min="4045" max="4045" width="12.85546875" style="1" customWidth="1"/>
    <col min="4046" max="4046" width="37.5703125" style="1" bestFit="1" customWidth="1"/>
    <col min="4047" max="4047" width="13.85546875" style="1" customWidth="1"/>
    <col min="4048" max="4048" width="13" style="1" customWidth="1"/>
    <col min="4049" max="4049" width="13.42578125" style="1" customWidth="1"/>
    <col min="4050" max="4050" width="11.28515625" style="1" customWidth="1"/>
    <col min="4051" max="4051" width="20.85546875" style="1" bestFit="1" customWidth="1"/>
    <col min="4052" max="4052" width="13.28515625" style="1" customWidth="1"/>
    <col min="4053" max="4053" width="19.7109375" style="1" customWidth="1"/>
    <col min="4054" max="4054" width="11.5703125" style="1" customWidth="1"/>
    <col min="4055" max="4055" width="23.28515625" style="1" customWidth="1"/>
    <col min="4056" max="4056" width="15.5703125" style="1" customWidth="1"/>
    <col min="4057" max="4299" width="9.140625" style="1"/>
    <col min="4300" max="4300" width="3.7109375" style="1" customWidth="1"/>
    <col min="4301" max="4301" width="12.85546875" style="1" customWidth="1"/>
    <col min="4302" max="4302" width="37.5703125" style="1" bestFit="1" customWidth="1"/>
    <col min="4303" max="4303" width="13.85546875" style="1" customWidth="1"/>
    <col min="4304" max="4304" width="13" style="1" customWidth="1"/>
    <col min="4305" max="4305" width="13.42578125" style="1" customWidth="1"/>
    <col min="4306" max="4306" width="11.28515625" style="1" customWidth="1"/>
    <col min="4307" max="4307" width="20.85546875" style="1" bestFit="1" customWidth="1"/>
    <col min="4308" max="4308" width="13.28515625" style="1" customWidth="1"/>
    <col min="4309" max="4309" width="19.7109375" style="1" customWidth="1"/>
    <col min="4310" max="4310" width="11.5703125" style="1" customWidth="1"/>
    <col min="4311" max="4311" width="23.28515625" style="1" customWidth="1"/>
    <col min="4312" max="4312" width="15.5703125" style="1" customWidth="1"/>
    <col min="4313" max="4555" width="9.140625" style="1"/>
    <col min="4556" max="4556" width="3.7109375" style="1" customWidth="1"/>
    <col min="4557" max="4557" width="12.85546875" style="1" customWidth="1"/>
    <col min="4558" max="4558" width="37.5703125" style="1" bestFit="1" customWidth="1"/>
    <col min="4559" max="4559" width="13.85546875" style="1" customWidth="1"/>
    <col min="4560" max="4560" width="13" style="1" customWidth="1"/>
    <col min="4561" max="4561" width="13.42578125" style="1" customWidth="1"/>
    <col min="4562" max="4562" width="11.28515625" style="1" customWidth="1"/>
    <col min="4563" max="4563" width="20.85546875" style="1" bestFit="1" customWidth="1"/>
    <col min="4564" max="4564" width="13.28515625" style="1" customWidth="1"/>
    <col min="4565" max="4565" width="19.7109375" style="1" customWidth="1"/>
    <col min="4566" max="4566" width="11.5703125" style="1" customWidth="1"/>
    <col min="4567" max="4567" width="23.28515625" style="1" customWidth="1"/>
    <col min="4568" max="4568" width="15.5703125" style="1" customWidth="1"/>
    <col min="4569" max="4811" width="9.140625" style="1"/>
    <col min="4812" max="4812" width="3.7109375" style="1" customWidth="1"/>
    <col min="4813" max="4813" width="12.85546875" style="1" customWidth="1"/>
    <col min="4814" max="4814" width="37.5703125" style="1" bestFit="1" customWidth="1"/>
    <col min="4815" max="4815" width="13.85546875" style="1" customWidth="1"/>
    <col min="4816" max="4816" width="13" style="1" customWidth="1"/>
    <col min="4817" max="4817" width="13.42578125" style="1" customWidth="1"/>
    <col min="4818" max="4818" width="11.28515625" style="1" customWidth="1"/>
    <col min="4819" max="4819" width="20.85546875" style="1" bestFit="1" customWidth="1"/>
    <col min="4820" max="4820" width="13.28515625" style="1" customWidth="1"/>
    <col min="4821" max="4821" width="19.7109375" style="1" customWidth="1"/>
    <col min="4822" max="4822" width="11.5703125" style="1" customWidth="1"/>
    <col min="4823" max="4823" width="23.28515625" style="1" customWidth="1"/>
    <col min="4824" max="4824" width="15.5703125" style="1" customWidth="1"/>
    <col min="4825" max="5067" width="9.140625" style="1"/>
    <col min="5068" max="5068" width="3.7109375" style="1" customWidth="1"/>
    <col min="5069" max="5069" width="12.85546875" style="1" customWidth="1"/>
    <col min="5070" max="5070" width="37.5703125" style="1" bestFit="1" customWidth="1"/>
    <col min="5071" max="5071" width="13.85546875" style="1" customWidth="1"/>
    <col min="5072" max="5072" width="13" style="1" customWidth="1"/>
    <col min="5073" max="5073" width="13.42578125" style="1" customWidth="1"/>
    <col min="5074" max="5074" width="11.28515625" style="1" customWidth="1"/>
    <col min="5075" max="5075" width="20.85546875" style="1" bestFit="1" customWidth="1"/>
    <col min="5076" max="5076" width="13.28515625" style="1" customWidth="1"/>
    <col min="5077" max="5077" width="19.7109375" style="1" customWidth="1"/>
    <col min="5078" max="5078" width="11.5703125" style="1" customWidth="1"/>
    <col min="5079" max="5079" width="23.28515625" style="1" customWidth="1"/>
    <col min="5080" max="5080" width="15.5703125" style="1" customWidth="1"/>
    <col min="5081" max="5323" width="9.140625" style="1"/>
    <col min="5324" max="5324" width="3.7109375" style="1" customWidth="1"/>
    <col min="5325" max="5325" width="12.85546875" style="1" customWidth="1"/>
    <col min="5326" max="5326" width="37.5703125" style="1" bestFit="1" customWidth="1"/>
    <col min="5327" max="5327" width="13.85546875" style="1" customWidth="1"/>
    <col min="5328" max="5328" width="13" style="1" customWidth="1"/>
    <col min="5329" max="5329" width="13.42578125" style="1" customWidth="1"/>
    <col min="5330" max="5330" width="11.28515625" style="1" customWidth="1"/>
    <col min="5331" max="5331" width="20.85546875" style="1" bestFit="1" customWidth="1"/>
    <col min="5332" max="5332" width="13.28515625" style="1" customWidth="1"/>
    <col min="5333" max="5333" width="19.7109375" style="1" customWidth="1"/>
    <col min="5334" max="5334" width="11.5703125" style="1" customWidth="1"/>
    <col min="5335" max="5335" width="23.28515625" style="1" customWidth="1"/>
    <col min="5336" max="5336" width="15.5703125" style="1" customWidth="1"/>
    <col min="5337" max="5579" width="9.140625" style="1"/>
    <col min="5580" max="5580" width="3.7109375" style="1" customWidth="1"/>
    <col min="5581" max="5581" width="12.85546875" style="1" customWidth="1"/>
    <col min="5582" max="5582" width="37.5703125" style="1" bestFit="1" customWidth="1"/>
    <col min="5583" max="5583" width="13.85546875" style="1" customWidth="1"/>
    <col min="5584" max="5584" width="13" style="1" customWidth="1"/>
    <col min="5585" max="5585" width="13.42578125" style="1" customWidth="1"/>
    <col min="5586" max="5586" width="11.28515625" style="1" customWidth="1"/>
    <col min="5587" max="5587" width="20.85546875" style="1" bestFit="1" customWidth="1"/>
    <col min="5588" max="5588" width="13.28515625" style="1" customWidth="1"/>
    <col min="5589" max="5589" width="19.7109375" style="1" customWidth="1"/>
    <col min="5590" max="5590" width="11.5703125" style="1" customWidth="1"/>
    <col min="5591" max="5591" width="23.28515625" style="1" customWidth="1"/>
    <col min="5592" max="5592" width="15.5703125" style="1" customWidth="1"/>
    <col min="5593" max="5835" width="9.140625" style="1"/>
    <col min="5836" max="5836" width="3.7109375" style="1" customWidth="1"/>
    <col min="5837" max="5837" width="12.85546875" style="1" customWidth="1"/>
    <col min="5838" max="5838" width="37.5703125" style="1" bestFit="1" customWidth="1"/>
    <col min="5839" max="5839" width="13.85546875" style="1" customWidth="1"/>
    <col min="5840" max="5840" width="13" style="1" customWidth="1"/>
    <col min="5841" max="5841" width="13.42578125" style="1" customWidth="1"/>
    <col min="5842" max="5842" width="11.28515625" style="1" customWidth="1"/>
    <col min="5843" max="5843" width="20.85546875" style="1" bestFit="1" customWidth="1"/>
    <col min="5844" max="5844" width="13.28515625" style="1" customWidth="1"/>
    <col min="5845" max="5845" width="19.7109375" style="1" customWidth="1"/>
    <col min="5846" max="5846" width="11.5703125" style="1" customWidth="1"/>
    <col min="5847" max="5847" width="23.28515625" style="1" customWidth="1"/>
    <col min="5848" max="5848" width="15.5703125" style="1" customWidth="1"/>
    <col min="5849" max="6091" width="9.140625" style="1"/>
    <col min="6092" max="6092" width="3.7109375" style="1" customWidth="1"/>
    <col min="6093" max="6093" width="12.85546875" style="1" customWidth="1"/>
    <col min="6094" max="6094" width="37.5703125" style="1" bestFit="1" customWidth="1"/>
    <col min="6095" max="6095" width="13.85546875" style="1" customWidth="1"/>
    <col min="6096" max="6096" width="13" style="1" customWidth="1"/>
    <col min="6097" max="6097" width="13.42578125" style="1" customWidth="1"/>
    <col min="6098" max="6098" width="11.28515625" style="1" customWidth="1"/>
    <col min="6099" max="6099" width="20.85546875" style="1" bestFit="1" customWidth="1"/>
    <col min="6100" max="6100" width="13.28515625" style="1" customWidth="1"/>
    <col min="6101" max="6101" width="19.7109375" style="1" customWidth="1"/>
    <col min="6102" max="6102" width="11.5703125" style="1" customWidth="1"/>
    <col min="6103" max="6103" width="23.28515625" style="1" customWidth="1"/>
    <col min="6104" max="6104" width="15.5703125" style="1" customWidth="1"/>
    <col min="6105" max="6347" width="9.140625" style="1"/>
    <col min="6348" max="6348" width="3.7109375" style="1" customWidth="1"/>
    <col min="6349" max="6349" width="12.85546875" style="1" customWidth="1"/>
    <col min="6350" max="6350" width="37.5703125" style="1" bestFit="1" customWidth="1"/>
    <col min="6351" max="6351" width="13.85546875" style="1" customWidth="1"/>
    <col min="6352" max="6352" width="13" style="1" customWidth="1"/>
    <col min="6353" max="6353" width="13.42578125" style="1" customWidth="1"/>
    <col min="6354" max="6354" width="11.28515625" style="1" customWidth="1"/>
    <col min="6355" max="6355" width="20.85546875" style="1" bestFit="1" customWidth="1"/>
    <col min="6356" max="6356" width="13.28515625" style="1" customWidth="1"/>
    <col min="6357" max="6357" width="19.7109375" style="1" customWidth="1"/>
    <col min="6358" max="6358" width="11.5703125" style="1" customWidth="1"/>
    <col min="6359" max="6359" width="23.28515625" style="1" customWidth="1"/>
    <col min="6360" max="6360" width="15.5703125" style="1" customWidth="1"/>
    <col min="6361" max="6603" width="9.140625" style="1"/>
    <col min="6604" max="6604" width="3.7109375" style="1" customWidth="1"/>
    <col min="6605" max="6605" width="12.85546875" style="1" customWidth="1"/>
    <col min="6606" max="6606" width="37.5703125" style="1" bestFit="1" customWidth="1"/>
    <col min="6607" max="6607" width="13.85546875" style="1" customWidth="1"/>
    <col min="6608" max="6608" width="13" style="1" customWidth="1"/>
    <col min="6609" max="6609" width="13.42578125" style="1" customWidth="1"/>
    <col min="6610" max="6610" width="11.28515625" style="1" customWidth="1"/>
    <col min="6611" max="6611" width="20.85546875" style="1" bestFit="1" customWidth="1"/>
    <col min="6612" max="6612" width="13.28515625" style="1" customWidth="1"/>
    <col min="6613" max="6613" width="19.7109375" style="1" customWidth="1"/>
    <col min="6614" max="6614" width="11.5703125" style="1" customWidth="1"/>
    <col min="6615" max="6615" width="23.28515625" style="1" customWidth="1"/>
    <col min="6616" max="6616" width="15.5703125" style="1" customWidth="1"/>
    <col min="6617" max="6859" width="9.140625" style="1"/>
    <col min="6860" max="6860" width="3.7109375" style="1" customWidth="1"/>
    <col min="6861" max="6861" width="12.85546875" style="1" customWidth="1"/>
    <col min="6862" max="6862" width="37.5703125" style="1" bestFit="1" customWidth="1"/>
    <col min="6863" max="6863" width="13.85546875" style="1" customWidth="1"/>
    <col min="6864" max="6864" width="13" style="1" customWidth="1"/>
    <col min="6865" max="6865" width="13.42578125" style="1" customWidth="1"/>
    <col min="6866" max="6866" width="11.28515625" style="1" customWidth="1"/>
    <col min="6867" max="6867" width="20.85546875" style="1" bestFit="1" customWidth="1"/>
    <col min="6868" max="6868" width="13.28515625" style="1" customWidth="1"/>
    <col min="6869" max="6869" width="19.7109375" style="1" customWidth="1"/>
    <col min="6870" max="6870" width="11.5703125" style="1" customWidth="1"/>
    <col min="6871" max="6871" width="23.28515625" style="1" customWidth="1"/>
    <col min="6872" max="6872" width="15.5703125" style="1" customWidth="1"/>
    <col min="6873" max="7115" width="9.140625" style="1"/>
    <col min="7116" max="7116" width="3.7109375" style="1" customWidth="1"/>
    <col min="7117" max="7117" width="12.85546875" style="1" customWidth="1"/>
    <col min="7118" max="7118" width="37.5703125" style="1" bestFit="1" customWidth="1"/>
    <col min="7119" max="7119" width="13.85546875" style="1" customWidth="1"/>
    <col min="7120" max="7120" width="13" style="1" customWidth="1"/>
    <col min="7121" max="7121" width="13.42578125" style="1" customWidth="1"/>
    <col min="7122" max="7122" width="11.28515625" style="1" customWidth="1"/>
    <col min="7123" max="7123" width="20.85546875" style="1" bestFit="1" customWidth="1"/>
    <col min="7124" max="7124" width="13.28515625" style="1" customWidth="1"/>
    <col min="7125" max="7125" width="19.7109375" style="1" customWidth="1"/>
    <col min="7126" max="7126" width="11.5703125" style="1" customWidth="1"/>
    <col min="7127" max="7127" width="23.28515625" style="1" customWidth="1"/>
    <col min="7128" max="7128" width="15.5703125" style="1" customWidth="1"/>
    <col min="7129" max="7371" width="9.140625" style="1"/>
    <col min="7372" max="7372" width="3.7109375" style="1" customWidth="1"/>
    <col min="7373" max="7373" width="12.85546875" style="1" customWidth="1"/>
    <col min="7374" max="7374" width="37.5703125" style="1" bestFit="1" customWidth="1"/>
    <col min="7375" max="7375" width="13.85546875" style="1" customWidth="1"/>
    <col min="7376" max="7376" width="13" style="1" customWidth="1"/>
    <col min="7377" max="7377" width="13.42578125" style="1" customWidth="1"/>
    <col min="7378" max="7378" width="11.28515625" style="1" customWidth="1"/>
    <col min="7379" max="7379" width="20.85546875" style="1" bestFit="1" customWidth="1"/>
    <col min="7380" max="7380" width="13.28515625" style="1" customWidth="1"/>
    <col min="7381" max="7381" width="19.7109375" style="1" customWidth="1"/>
    <col min="7382" max="7382" width="11.5703125" style="1" customWidth="1"/>
    <col min="7383" max="7383" width="23.28515625" style="1" customWidth="1"/>
    <col min="7384" max="7384" width="15.5703125" style="1" customWidth="1"/>
    <col min="7385" max="7627" width="9.140625" style="1"/>
    <col min="7628" max="7628" width="3.7109375" style="1" customWidth="1"/>
    <col min="7629" max="7629" width="12.85546875" style="1" customWidth="1"/>
    <col min="7630" max="7630" width="37.5703125" style="1" bestFit="1" customWidth="1"/>
    <col min="7631" max="7631" width="13.85546875" style="1" customWidth="1"/>
    <col min="7632" max="7632" width="13" style="1" customWidth="1"/>
    <col min="7633" max="7633" width="13.42578125" style="1" customWidth="1"/>
    <col min="7634" max="7634" width="11.28515625" style="1" customWidth="1"/>
    <col min="7635" max="7635" width="20.85546875" style="1" bestFit="1" customWidth="1"/>
    <col min="7636" max="7636" width="13.28515625" style="1" customWidth="1"/>
    <col min="7637" max="7637" width="19.7109375" style="1" customWidth="1"/>
    <col min="7638" max="7638" width="11.5703125" style="1" customWidth="1"/>
    <col min="7639" max="7639" width="23.28515625" style="1" customWidth="1"/>
    <col min="7640" max="7640" width="15.5703125" style="1" customWidth="1"/>
    <col min="7641" max="7883" width="9.140625" style="1"/>
    <col min="7884" max="7884" width="3.7109375" style="1" customWidth="1"/>
    <col min="7885" max="7885" width="12.85546875" style="1" customWidth="1"/>
    <col min="7886" max="7886" width="37.5703125" style="1" bestFit="1" customWidth="1"/>
    <col min="7887" max="7887" width="13.85546875" style="1" customWidth="1"/>
    <col min="7888" max="7888" width="13" style="1" customWidth="1"/>
    <col min="7889" max="7889" width="13.42578125" style="1" customWidth="1"/>
    <col min="7890" max="7890" width="11.28515625" style="1" customWidth="1"/>
    <col min="7891" max="7891" width="20.85546875" style="1" bestFit="1" customWidth="1"/>
    <col min="7892" max="7892" width="13.28515625" style="1" customWidth="1"/>
    <col min="7893" max="7893" width="19.7109375" style="1" customWidth="1"/>
    <col min="7894" max="7894" width="11.5703125" style="1" customWidth="1"/>
    <col min="7895" max="7895" width="23.28515625" style="1" customWidth="1"/>
    <col min="7896" max="7896" width="15.5703125" style="1" customWidth="1"/>
    <col min="7897" max="8139" width="9.140625" style="1"/>
    <col min="8140" max="8140" width="3.7109375" style="1" customWidth="1"/>
    <col min="8141" max="8141" width="12.85546875" style="1" customWidth="1"/>
    <col min="8142" max="8142" width="37.5703125" style="1" bestFit="1" customWidth="1"/>
    <col min="8143" max="8143" width="13.85546875" style="1" customWidth="1"/>
    <col min="8144" max="8144" width="13" style="1" customWidth="1"/>
    <col min="8145" max="8145" width="13.42578125" style="1" customWidth="1"/>
    <col min="8146" max="8146" width="11.28515625" style="1" customWidth="1"/>
    <col min="8147" max="8147" width="20.85546875" style="1" bestFit="1" customWidth="1"/>
    <col min="8148" max="8148" width="13.28515625" style="1" customWidth="1"/>
    <col min="8149" max="8149" width="19.7109375" style="1" customWidth="1"/>
    <col min="8150" max="8150" width="11.5703125" style="1" customWidth="1"/>
    <col min="8151" max="8151" width="23.28515625" style="1" customWidth="1"/>
    <col min="8152" max="8152" width="15.5703125" style="1" customWidth="1"/>
    <col min="8153" max="8395" width="9.140625" style="1"/>
    <col min="8396" max="8396" width="3.7109375" style="1" customWidth="1"/>
    <col min="8397" max="8397" width="12.85546875" style="1" customWidth="1"/>
    <col min="8398" max="8398" width="37.5703125" style="1" bestFit="1" customWidth="1"/>
    <col min="8399" max="8399" width="13.85546875" style="1" customWidth="1"/>
    <col min="8400" max="8400" width="13" style="1" customWidth="1"/>
    <col min="8401" max="8401" width="13.42578125" style="1" customWidth="1"/>
    <col min="8402" max="8402" width="11.28515625" style="1" customWidth="1"/>
    <col min="8403" max="8403" width="20.85546875" style="1" bestFit="1" customWidth="1"/>
    <col min="8404" max="8404" width="13.28515625" style="1" customWidth="1"/>
    <col min="8405" max="8405" width="19.7109375" style="1" customWidth="1"/>
    <col min="8406" max="8406" width="11.5703125" style="1" customWidth="1"/>
    <col min="8407" max="8407" width="23.28515625" style="1" customWidth="1"/>
    <col min="8408" max="8408" width="15.5703125" style="1" customWidth="1"/>
    <col min="8409" max="8651" width="9.140625" style="1"/>
    <col min="8652" max="8652" width="3.7109375" style="1" customWidth="1"/>
    <col min="8653" max="8653" width="12.85546875" style="1" customWidth="1"/>
    <col min="8654" max="8654" width="37.5703125" style="1" bestFit="1" customWidth="1"/>
    <col min="8655" max="8655" width="13.85546875" style="1" customWidth="1"/>
    <col min="8656" max="8656" width="13" style="1" customWidth="1"/>
    <col min="8657" max="8657" width="13.42578125" style="1" customWidth="1"/>
    <col min="8658" max="8658" width="11.28515625" style="1" customWidth="1"/>
    <col min="8659" max="8659" width="20.85546875" style="1" bestFit="1" customWidth="1"/>
    <col min="8660" max="8660" width="13.28515625" style="1" customWidth="1"/>
    <col min="8661" max="8661" width="19.7109375" style="1" customWidth="1"/>
    <col min="8662" max="8662" width="11.5703125" style="1" customWidth="1"/>
    <col min="8663" max="8663" width="23.28515625" style="1" customWidth="1"/>
    <col min="8664" max="8664" width="15.5703125" style="1" customWidth="1"/>
    <col min="8665" max="8907" width="9.140625" style="1"/>
    <col min="8908" max="8908" width="3.7109375" style="1" customWidth="1"/>
    <col min="8909" max="8909" width="12.85546875" style="1" customWidth="1"/>
    <col min="8910" max="8910" width="37.5703125" style="1" bestFit="1" customWidth="1"/>
    <col min="8911" max="8911" width="13.85546875" style="1" customWidth="1"/>
    <col min="8912" max="8912" width="13" style="1" customWidth="1"/>
    <col min="8913" max="8913" width="13.42578125" style="1" customWidth="1"/>
    <col min="8914" max="8914" width="11.28515625" style="1" customWidth="1"/>
    <col min="8915" max="8915" width="20.85546875" style="1" bestFit="1" customWidth="1"/>
    <col min="8916" max="8916" width="13.28515625" style="1" customWidth="1"/>
    <col min="8917" max="8917" width="19.7109375" style="1" customWidth="1"/>
    <col min="8918" max="8918" width="11.5703125" style="1" customWidth="1"/>
    <col min="8919" max="8919" width="23.28515625" style="1" customWidth="1"/>
    <col min="8920" max="8920" width="15.5703125" style="1" customWidth="1"/>
    <col min="8921" max="9163" width="9.140625" style="1"/>
    <col min="9164" max="9164" width="3.7109375" style="1" customWidth="1"/>
    <col min="9165" max="9165" width="12.85546875" style="1" customWidth="1"/>
    <col min="9166" max="9166" width="37.5703125" style="1" bestFit="1" customWidth="1"/>
    <col min="9167" max="9167" width="13.85546875" style="1" customWidth="1"/>
    <col min="9168" max="9168" width="13" style="1" customWidth="1"/>
    <col min="9169" max="9169" width="13.42578125" style="1" customWidth="1"/>
    <col min="9170" max="9170" width="11.28515625" style="1" customWidth="1"/>
    <col min="9171" max="9171" width="20.85546875" style="1" bestFit="1" customWidth="1"/>
    <col min="9172" max="9172" width="13.28515625" style="1" customWidth="1"/>
    <col min="9173" max="9173" width="19.7109375" style="1" customWidth="1"/>
    <col min="9174" max="9174" width="11.5703125" style="1" customWidth="1"/>
    <col min="9175" max="9175" width="23.28515625" style="1" customWidth="1"/>
    <col min="9176" max="9176" width="15.5703125" style="1" customWidth="1"/>
    <col min="9177" max="9419" width="9.140625" style="1"/>
    <col min="9420" max="9420" width="3.7109375" style="1" customWidth="1"/>
    <col min="9421" max="9421" width="12.85546875" style="1" customWidth="1"/>
    <col min="9422" max="9422" width="37.5703125" style="1" bestFit="1" customWidth="1"/>
    <col min="9423" max="9423" width="13.85546875" style="1" customWidth="1"/>
    <col min="9424" max="9424" width="13" style="1" customWidth="1"/>
    <col min="9425" max="9425" width="13.42578125" style="1" customWidth="1"/>
    <col min="9426" max="9426" width="11.28515625" style="1" customWidth="1"/>
    <col min="9427" max="9427" width="20.85546875" style="1" bestFit="1" customWidth="1"/>
    <col min="9428" max="9428" width="13.28515625" style="1" customWidth="1"/>
    <col min="9429" max="9429" width="19.7109375" style="1" customWidth="1"/>
    <col min="9430" max="9430" width="11.5703125" style="1" customWidth="1"/>
    <col min="9431" max="9431" width="23.28515625" style="1" customWidth="1"/>
    <col min="9432" max="9432" width="15.5703125" style="1" customWidth="1"/>
    <col min="9433" max="9675" width="9.140625" style="1"/>
    <col min="9676" max="9676" width="3.7109375" style="1" customWidth="1"/>
    <col min="9677" max="9677" width="12.85546875" style="1" customWidth="1"/>
    <col min="9678" max="9678" width="37.5703125" style="1" bestFit="1" customWidth="1"/>
    <col min="9679" max="9679" width="13.85546875" style="1" customWidth="1"/>
    <col min="9680" max="9680" width="13" style="1" customWidth="1"/>
    <col min="9681" max="9681" width="13.42578125" style="1" customWidth="1"/>
    <col min="9682" max="9682" width="11.28515625" style="1" customWidth="1"/>
    <col min="9683" max="9683" width="20.85546875" style="1" bestFit="1" customWidth="1"/>
    <col min="9684" max="9684" width="13.28515625" style="1" customWidth="1"/>
    <col min="9685" max="9685" width="19.7109375" style="1" customWidth="1"/>
    <col min="9686" max="9686" width="11.5703125" style="1" customWidth="1"/>
    <col min="9687" max="9687" width="23.28515625" style="1" customWidth="1"/>
    <col min="9688" max="9688" width="15.5703125" style="1" customWidth="1"/>
    <col min="9689" max="9931" width="9.140625" style="1"/>
    <col min="9932" max="9932" width="3.7109375" style="1" customWidth="1"/>
    <col min="9933" max="9933" width="12.85546875" style="1" customWidth="1"/>
    <col min="9934" max="9934" width="37.5703125" style="1" bestFit="1" customWidth="1"/>
    <col min="9935" max="9935" width="13.85546875" style="1" customWidth="1"/>
    <col min="9936" max="9936" width="13" style="1" customWidth="1"/>
    <col min="9937" max="9937" width="13.42578125" style="1" customWidth="1"/>
    <col min="9938" max="9938" width="11.28515625" style="1" customWidth="1"/>
    <col min="9939" max="9939" width="20.85546875" style="1" bestFit="1" customWidth="1"/>
    <col min="9940" max="9940" width="13.28515625" style="1" customWidth="1"/>
    <col min="9941" max="9941" width="19.7109375" style="1" customWidth="1"/>
    <col min="9942" max="9942" width="11.5703125" style="1" customWidth="1"/>
    <col min="9943" max="9943" width="23.28515625" style="1" customWidth="1"/>
    <col min="9944" max="9944" width="15.5703125" style="1" customWidth="1"/>
    <col min="9945" max="10187" width="9.140625" style="1"/>
    <col min="10188" max="10188" width="3.7109375" style="1" customWidth="1"/>
    <col min="10189" max="10189" width="12.85546875" style="1" customWidth="1"/>
    <col min="10190" max="10190" width="37.5703125" style="1" bestFit="1" customWidth="1"/>
    <col min="10191" max="10191" width="13.85546875" style="1" customWidth="1"/>
    <col min="10192" max="10192" width="13" style="1" customWidth="1"/>
    <col min="10193" max="10193" width="13.42578125" style="1" customWidth="1"/>
    <col min="10194" max="10194" width="11.28515625" style="1" customWidth="1"/>
    <col min="10195" max="10195" width="20.85546875" style="1" bestFit="1" customWidth="1"/>
    <col min="10196" max="10196" width="13.28515625" style="1" customWidth="1"/>
    <col min="10197" max="10197" width="19.7109375" style="1" customWidth="1"/>
    <col min="10198" max="10198" width="11.5703125" style="1" customWidth="1"/>
    <col min="10199" max="10199" width="23.28515625" style="1" customWidth="1"/>
    <col min="10200" max="10200" width="15.5703125" style="1" customWidth="1"/>
    <col min="10201" max="10443" width="9.140625" style="1"/>
    <col min="10444" max="10444" width="3.7109375" style="1" customWidth="1"/>
    <col min="10445" max="10445" width="12.85546875" style="1" customWidth="1"/>
    <col min="10446" max="10446" width="37.5703125" style="1" bestFit="1" customWidth="1"/>
    <col min="10447" max="10447" width="13.85546875" style="1" customWidth="1"/>
    <col min="10448" max="10448" width="13" style="1" customWidth="1"/>
    <col min="10449" max="10449" width="13.42578125" style="1" customWidth="1"/>
    <col min="10450" max="10450" width="11.28515625" style="1" customWidth="1"/>
    <col min="10451" max="10451" width="20.85546875" style="1" bestFit="1" customWidth="1"/>
    <col min="10452" max="10452" width="13.28515625" style="1" customWidth="1"/>
    <col min="10453" max="10453" width="19.7109375" style="1" customWidth="1"/>
    <col min="10454" max="10454" width="11.5703125" style="1" customWidth="1"/>
    <col min="10455" max="10455" width="23.28515625" style="1" customWidth="1"/>
    <col min="10456" max="10456" width="15.5703125" style="1" customWidth="1"/>
    <col min="10457" max="10699" width="9.140625" style="1"/>
    <col min="10700" max="10700" width="3.7109375" style="1" customWidth="1"/>
    <col min="10701" max="10701" width="12.85546875" style="1" customWidth="1"/>
    <col min="10702" max="10702" width="37.5703125" style="1" bestFit="1" customWidth="1"/>
    <col min="10703" max="10703" width="13.85546875" style="1" customWidth="1"/>
    <col min="10704" max="10704" width="13" style="1" customWidth="1"/>
    <col min="10705" max="10705" width="13.42578125" style="1" customWidth="1"/>
    <col min="10706" max="10706" width="11.28515625" style="1" customWidth="1"/>
    <col min="10707" max="10707" width="20.85546875" style="1" bestFit="1" customWidth="1"/>
    <col min="10708" max="10708" width="13.28515625" style="1" customWidth="1"/>
    <col min="10709" max="10709" width="19.7109375" style="1" customWidth="1"/>
    <col min="10710" max="10710" width="11.5703125" style="1" customWidth="1"/>
    <col min="10711" max="10711" width="23.28515625" style="1" customWidth="1"/>
    <col min="10712" max="10712" width="15.5703125" style="1" customWidth="1"/>
    <col min="10713" max="10955" width="9.140625" style="1"/>
    <col min="10956" max="10956" width="3.7109375" style="1" customWidth="1"/>
    <col min="10957" max="10957" width="12.85546875" style="1" customWidth="1"/>
    <col min="10958" max="10958" width="37.5703125" style="1" bestFit="1" customWidth="1"/>
    <col min="10959" max="10959" width="13.85546875" style="1" customWidth="1"/>
    <col min="10960" max="10960" width="13" style="1" customWidth="1"/>
    <col min="10961" max="10961" width="13.42578125" style="1" customWidth="1"/>
    <col min="10962" max="10962" width="11.28515625" style="1" customWidth="1"/>
    <col min="10963" max="10963" width="20.85546875" style="1" bestFit="1" customWidth="1"/>
    <col min="10964" max="10964" width="13.28515625" style="1" customWidth="1"/>
    <col min="10965" max="10965" width="19.7109375" style="1" customWidth="1"/>
    <col min="10966" max="10966" width="11.5703125" style="1" customWidth="1"/>
    <col min="10967" max="10967" width="23.28515625" style="1" customWidth="1"/>
    <col min="10968" max="10968" width="15.5703125" style="1" customWidth="1"/>
    <col min="10969" max="11211" width="9.140625" style="1"/>
    <col min="11212" max="11212" width="3.7109375" style="1" customWidth="1"/>
    <col min="11213" max="11213" width="12.85546875" style="1" customWidth="1"/>
    <col min="11214" max="11214" width="37.5703125" style="1" bestFit="1" customWidth="1"/>
    <col min="11215" max="11215" width="13.85546875" style="1" customWidth="1"/>
    <col min="11216" max="11216" width="13" style="1" customWidth="1"/>
    <col min="11217" max="11217" width="13.42578125" style="1" customWidth="1"/>
    <col min="11218" max="11218" width="11.28515625" style="1" customWidth="1"/>
    <col min="11219" max="11219" width="20.85546875" style="1" bestFit="1" customWidth="1"/>
    <col min="11220" max="11220" width="13.28515625" style="1" customWidth="1"/>
    <col min="11221" max="11221" width="19.7109375" style="1" customWidth="1"/>
    <col min="11222" max="11222" width="11.5703125" style="1" customWidth="1"/>
    <col min="11223" max="11223" width="23.28515625" style="1" customWidth="1"/>
    <col min="11224" max="11224" width="15.5703125" style="1" customWidth="1"/>
    <col min="11225" max="11467" width="9.140625" style="1"/>
    <col min="11468" max="11468" width="3.7109375" style="1" customWidth="1"/>
    <col min="11469" max="11469" width="12.85546875" style="1" customWidth="1"/>
    <col min="11470" max="11470" width="37.5703125" style="1" bestFit="1" customWidth="1"/>
    <col min="11471" max="11471" width="13.85546875" style="1" customWidth="1"/>
    <col min="11472" max="11472" width="13" style="1" customWidth="1"/>
    <col min="11473" max="11473" width="13.42578125" style="1" customWidth="1"/>
    <col min="11474" max="11474" width="11.28515625" style="1" customWidth="1"/>
    <col min="11475" max="11475" width="20.85546875" style="1" bestFit="1" customWidth="1"/>
    <col min="11476" max="11476" width="13.28515625" style="1" customWidth="1"/>
    <col min="11477" max="11477" width="19.7109375" style="1" customWidth="1"/>
    <col min="11478" max="11478" width="11.5703125" style="1" customWidth="1"/>
    <col min="11479" max="11479" width="23.28515625" style="1" customWidth="1"/>
    <col min="11480" max="11480" width="15.5703125" style="1" customWidth="1"/>
    <col min="11481" max="11723" width="9.140625" style="1"/>
    <col min="11724" max="11724" width="3.7109375" style="1" customWidth="1"/>
    <col min="11725" max="11725" width="12.85546875" style="1" customWidth="1"/>
    <col min="11726" max="11726" width="37.5703125" style="1" bestFit="1" customWidth="1"/>
    <col min="11727" max="11727" width="13.85546875" style="1" customWidth="1"/>
    <col min="11728" max="11728" width="13" style="1" customWidth="1"/>
    <col min="11729" max="11729" width="13.42578125" style="1" customWidth="1"/>
    <col min="11730" max="11730" width="11.28515625" style="1" customWidth="1"/>
    <col min="11731" max="11731" width="20.85546875" style="1" bestFit="1" customWidth="1"/>
    <col min="11732" max="11732" width="13.28515625" style="1" customWidth="1"/>
    <col min="11733" max="11733" width="19.7109375" style="1" customWidth="1"/>
    <col min="11734" max="11734" width="11.5703125" style="1" customWidth="1"/>
    <col min="11735" max="11735" width="23.28515625" style="1" customWidth="1"/>
    <col min="11736" max="11736" width="15.5703125" style="1" customWidth="1"/>
    <col min="11737" max="11979" width="9.140625" style="1"/>
    <col min="11980" max="11980" width="3.7109375" style="1" customWidth="1"/>
    <col min="11981" max="11981" width="12.85546875" style="1" customWidth="1"/>
    <col min="11982" max="11982" width="37.5703125" style="1" bestFit="1" customWidth="1"/>
    <col min="11983" max="11983" width="13.85546875" style="1" customWidth="1"/>
    <col min="11984" max="11984" width="13" style="1" customWidth="1"/>
    <col min="11985" max="11985" width="13.42578125" style="1" customWidth="1"/>
    <col min="11986" max="11986" width="11.28515625" style="1" customWidth="1"/>
    <col min="11987" max="11987" width="20.85546875" style="1" bestFit="1" customWidth="1"/>
    <col min="11988" max="11988" width="13.28515625" style="1" customWidth="1"/>
    <col min="11989" max="11989" width="19.7109375" style="1" customWidth="1"/>
    <col min="11990" max="11990" width="11.5703125" style="1" customWidth="1"/>
    <col min="11991" max="11991" width="23.28515625" style="1" customWidth="1"/>
    <col min="11992" max="11992" width="15.5703125" style="1" customWidth="1"/>
    <col min="11993" max="12235" width="9.140625" style="1"/>
    <col min="12236" max="12236" width="3.7109375" style="1" customWidth="1"/>
    <col min="12237" max="12237" width="12.85546875" style="1" customWidth="1"/>
    <col min="12238" max="12238" width="37.5703125" style="1" bestFit="1" customWidth="1"/>
    <col min="12239" max="12239" width="13.85546875" style="1" customWidth="1"/>
    <col min="12240" max="12240" width="13" style="1" customWidth="1"/>
    <col min="12241" max="12241" width="13.42578125" style="1" customWidth="1"/>
    <col min="12242" max="12242" width="11.28515625" style="1" customWidth="1"/>
    <col min="12243" max="12243" width="20.85546875" style="1" bestFit="1" customWidth="1"/>
    <col min="12244" max="12244" width="13.28515625" style="1" customWidth="1"/>
    <col min="12245" max="12245" width="19.7109375" style="1" customWidth="1"/>
    <col min="12246" max="12246" width="11.5703125" style="1" customWidth="1"/>
    <col min="12247" max="12247" width="23.28515625" style="1" customWidth="1"/>
    <col min="12248" max="12248" width="15.5703125" style="1" customWidth="1"/>
    <col min="12249" max="12491" width="9.140625" style="1"/>
    <col min="12492" max="12492" width="3.7109375" style="1" customWidth="1"/>
    <col min="12493" max="12493" width="12.85546875" style="1" customWidth="1"/>
    <col min="12494" max="12494" width="37.5703125" style="1" bestFit="1" customWidth="1"/>
    <col min="12495" max="12495" width="13.85546875" style="1" customWidth="1"/>
    <col min="12496" max="12496" width="13" style="1" customWidth="1"/>
    <col min="12497" max="12497" width="13.42578125" style="1" customWidth="1"/>
    <col min="12498" max="12498" width="11.28515625" style="1" customWidth="1"/>
    <col min="12499" max="12499" width="20.85546875" style="1" bestFit="1" customWidth="1"/>
    <col min="12500" max="12500" width="13.28515625" style="1" customWidth="1"/>
    <col min="12501" max="12501" width="19.7109375" style="1" customWidth="1"/>
    <col min="12502" max="12502" width="11.5703125" style="1" customWidth="1"/>
    <col min="12503" max="12503" width="23.28515625" style="1" customWidth="1"/>
    <col min="12504" max="12504" width="15.5703125" style="1" customWidth="1"/>
    <col min="12505" max="12747" width="9.140625" style="1"/>
    <col min="12748" max="12748" width="3.7109375" style="1" customWidth="1"/>
    <col min="12749" max="12749" width="12.85546875" style="1" customWidth="1"/>
    <col min="12750" max="12750" width="37.5703125" style="1" bestFit="1" customWidth="1"/>
    <col min="12751" max="12751" width="13.85546875" style="1" customWidth="1"/>
    <col min="12752" max="12752" width="13" style="1" customWidth="1"/>
    <col min="12753" max="12753" width="13.42578125" style="1" customWidth="1"/>
    <col min="12754" max="12754" width="11.28515625" style="1" customWidth="1"/>
    <col min="12755" max="12755" width="20.85546875" style="1" bestFit="1" customWidth="1"/>
    <col min="12756" max="12756" width="13.28515625" style="1" customWidth="1"/>
    <col min="12757" max="12757" width="19.7109375" style="1" customWidth="1"/>
    <col min="12758" max="12758" width="11.5703125" style="1" customWidth="1"/>
    <col min="12759" max="12759" width="23.28515625" style="1" customWidth="1"/>
    <col min="12760" max="12760" width="15.5703125" style="1" customWidth="1"/>
    <col min="12761" max="13003" width="9.140625" style="1"/>
    <col min="13004" max="13004" width="3.7109375" style="1" customWidth="1"/>
    <col min="13005" max="13005" width="12.85546875" style="1" customWidth="1"/>
    <col min="13006" max="13006" width="37.5703125" style="1" bestFit="1" customWidth="1"/>
    <col min="13007" max="13007" width="13.85546875" style="1" customWidth="1"/>
    <col min="13008" max="13008" width="13" style="1" customWidth="1"/>
    <col min="13009" max="13009" width="13.42578125" style="1" customWidth="1"/>
    <col min="13010" max="13010" width="11.28515625" style="1" customWidth="1"/>
    <col min="13011" max="13011" width="20.85546875" style="1" bestFit="1" customWidth="1"/>
    <col min="13012" max="13012" width="13.28515625" style="1" customWidth="1"/>
    <col min="13013" max="13013" width="19.7109375" style="1" customWidth="1"/>
    <col min="13014" max="13014" width="11.5703125" style="1" customWidth="1"/>
    <col min="13015" max="13015" width="23.28515625" style="1" customWidth="1"/>
    <col min="13016" max="13016" width="15.5703125" style="1" customWidth="1"/>
    <col min="13017" max="13259" width="9.140625" style="1"/>
    <col min="13260" max="13260" width="3.7109375" style="1" customWidth="1"/>
    <col min="13261" max="13261" width="12.85546875" style="1" customWidth="1"/>
    <col min="13262" max="13262" width="37.5703125" style="1" bestFit="1" customWidth="1"/>
    <col min="13263" max="13263" width="13.85546875" style="1" customWidth="1"/>
    <col min="13264" max="13264" width="13" style="1" customWidth="1"/>
    <col min="13265" max="13265" width="13.42578125" style="1" customWidth="1"/>
    <col min="13266" max="13266" width="11.28515625" style="1" customWidth="1"/>
    <col min="13267" max="13267" width="20.85546875" style="1" bestFit="1" customWidth="1"/>
    <col min="13268" max="13268" width="13.28515625" style="1" customWidth="1"/>
    <col min="13269" max="13269" width="19.7109375" style="1" customWidth="1"/>
    <col min="13270" max="13270" width="11.5703125" style="1" customWidth="1"/>
    <col min="13271" max="13271" width="23.28515625" style="1" customWidth="1"/>
    <col min="13272" max="13272" width="15.5703125" style="1" customWidth="1"/>
    <col min="13273" max="13515" width="9.140625" style="1"/>
    <col min="13516" max="13516" width="3.7109375" style="1" customWidth="1"/>
    <col min="13517" max="13517" width="12.85546875" style="1" customWidth="1"/>
    <col min="13518" max="13518" width="37.5703125" style="1" bestFit="1" customWidth="1"/>
    <col min="13519" max="13519" width="13.85546875" style="1" customWidth="1"/>
    <col min="13520" max="13520" width="13" style="1" customWidth="1"/>
    <col min="13521" max="13521" width="13.42578125" style="1" customWidth="1"/>
    <col min="13522" max="13522" width="11.28515625" style="1" customWidth="1"/>
    <col min="13523" max="13523" width="20.85546875" style="1" bestFit="1" customWidth="1"/>
    <col min="13524" max="13524" width="13.28515625" style="1" customWidth="1"/>
    <col min="13525" max="13525" width="19.7109375" style="1" customWidth="1"/>
    <col min="13526" max="13526" width="11.5703125" style="1" customWidth="1"/>
    <col min="13527" max="13527" width="23.28515625" style="1" customWidth="1"/>
    <col min="13528" max="13528" width="15.5703125" style="1" customWidth="1"/>
    <col min="13529" max="13771" width="9.140625" style="1"/>
    <col min="13772" max="13772" width="3.7109375" style="1" customWidth="1"/>
    <col min="13773" max="13773" width="12.85546875" style="1" customWidth="1"/>
    <col min="13774" max="13774" width="37.5703125" style="1" bestFit="1" customWidth="1"/>
    <col min="13775" max="13775" width="13.85546875" style="1" customWidth="1"/>
    <col min="13776" max="13776" width="13" style="1" customWidth="1"/>
    <col min="13777" max="13777" width="13.42578125" style="1" customWidth="1"/>
    <col min="13778" max="13778" width="11.28515625" style="1" customWidth="1"/>
    <col min="13779" max="13779" width="20.85546875" style="1" bestFit="1" customWidth="1"/>
    <col min="13780" max="13780" width="13.28515625" style="1" customWidth="1"/>
    <col min="13781" max="13781" width="19.7109375" style="1" customWidth="1"/>
    <col min="13782" max="13782" width="11.5703125" style="1" customWidth="1"/>
    <col min="13783" max="13783" width="23.28515625" style="1" customWidth="1"/>
    <col min="13784" max="13784" width="15.5703125" style="1" customWidth="1"/>
    <col min="13785" max="14027" width="9.140625" style="1"/>
    <col min="14028" max="14028" width="3.7109375" style="1" customWidth="1"/>
    <col min="14029" max="14029" width="12.85546875" style="1" customWidth="1"/>
    <col min="14030" max="14030" width="37.5703125" style="1" bestFit="1" customWidth="1"/>
    <col min="14031" max="14031" width="13.85546875" style="1" customWidth="1"/>
    <col min="14032" max="14032" width="13" style="1" customWidth="1"/>
    <col min="14033" max="14033" width="13.42578125" style="1" customWidth="1"/>
    <col min="14034" max="14034" width="11.28515625" style="1" customWidth="1"/>
    <col min="14035" max="14035" width="20.85546875" style="1" bestFit="1" customWidth="1"/>
    <col min="14036" max="14036" width="13.28515625" style="1" customWidth="1"/>
    <col min="14037" max="14037" width="19.7109375" style="1" customWidth="1"/>
    <col min="14038" max="14038" width="11.5703125" style="1" customWidth="1"/>
    <col min="14039" max="14039" width="23.28515625" style="1" customWidth="1"/>
    <col min="14040" max="14040" width="15.5703125" style="1" customWidth="1"/>
    <col min="14041" max="14283" width="9.140625" style="1"/>
    <col min="14284" max="14284" width="3.7109375" style="1" customWidth="1"/>
    <col min="14285" max="14285" width="12.85546875" style="1" customWidth="1"/>
    <col min="14286" max="14286" width="37.5703125" style="1" bestFit="1" customWidth="1"/>
    <col min="14287" max="14287" width="13.85546875" style="1" customWidth="1"/>
    <col min="14288" max="14288" width="13" style="1" customWidth="1"/>
    <col min="14289" max="14289" width="13.42578125" style="1" customWidth="1"/>
    <col min="14290" max="14290" width="11.28515625" style="1" customWidth="1"/>
    <col min="14291" max="14291" width="20.85546875" style="1" bestFit="1" customWidth="1"/>
    <col min="14292" max="14292" width="13.28515625" style="1" customWidth="1"/>
    <col min="14293" max="14293" width="19.7109375" style="1" customWidth="1"/>
    <col min="14294" max="14294" width="11.5703125" style="1" customWidth="1"/>
    <col min="14295" max="14295" width="23.28515625" style="1" customWidth="1"/>
    <col min="14296" max="14296" width="15.5703125" style="1" customWidth="1"/>
    <col min="14297" max="14539" width="9.140625" style="1"/>
    <col min="14540" max="14540" width="3.7109375" style="1" customWidth="1"/>
    <col min="14541" max="14541" width="12.85546875" style="1" customWidth="1"/>
    <col min="14542" max="14542" width="37.5703125" style="1" bestFit="1" customWidth="1"/>
    <col min="14543" max="14543" width="13.85546875" style="1" customWidth="1"/>
    <col min="14544" max="14544" width="13" style="1" customWidth="1"/>
    <col min="14545" max="14545" width="13.42578125" style="1" customWidth="1"/>
    <col min="14546" max="14546" width="11.28515625" style="1" customWidth="1"/>
    <col min="14547" max="14547" width="20.85546875" style="1" bestFit="1" customWidth="1"/>
    <col min="14548" max="14548" width="13.28515625" style="1" customWidth="1"/>
    <col min="14549" max="14549" width="19.7109375" style="1" customWidth="1"/>
    <col min="14550" max="14550" width="11.5703125" style="1" customWidth="1"/>
    <col min="14551" max="14551" width="23.28515625" style="1" customWidth="1"/>
    <col min="14552" max="14552" width="15.5703125" style="1" customWidth="1"/>
    <col min="14553" max="14795" width="9.140625" style="1"/>
    <col min="14796" max="14796" width="3.7109375" style="1" customWidth="1"/>
    <col min="14797" max="14797" width="12.85546875" style="1" customWidth="1"/>
    <col min="14798" max="14798" width="37.5703125" style="1" bestFit="1" customWidth="1"/>
    <col min="14799" max="14799" width="13.85546875" style="1" customWidth="1"/>
    <col min="14800" max="14800" width="13" style="1" customWidth="1"/>
    <col min="14801" max="14801" width="13.42578125" style="1" customWidth="1"/>
    <col min="14802" max="14802" width="11.28515625" style="1" customWidth="1"/>
    <col min="14803" max="14803" width="20.85546875" style="1" bestFit="1" customWidth="1"/>
    <col min="14804" max="14804" width="13.28515625" style="1" customWidth="1"/>
    <col min="14805" max="14805" width="19.7109375" style="1" customWidth="1"/>
    <col min="14806" max="14806" width="11.5703125" style="1" customWidth="1"/>
    <col min="14807" max="14807" width="23.28515625" style="1" customWidth="1"/>
    <col min="14808" max="14808" width="15.5703125" style="1" customWidth="1"/>
    <col min="14809" max="15051" width="9.140625" style="1"/>
    <col min="15052" max="15052" width="3.7109375" style="1" customWidth="1"/>
    <col min="15053" max="15053" width="12.85546875" style="1" customWidth="1"/>
    <col min="15054" max="15054" width="37.5703125" style="1" bestFit="1" customWidth="1"/>
    <col min="15055" max="15055" width="13.85546875" style="1" customWidth="1"/>
    <col min="15056" max="15056" width="13" style="1" customWidth="1"/>
    <col min="15057" max="15057" width="13.42578125" style="1" customWidth="1"/>
    <col min="15058" max="15058" width="11.28515625" style="1" customWidth="1"/>
    <col min="15059" max="15059" width="20.85546875" style="1" bestFit="1" customWidth="1"/>
    <col min="15060" max="15060" width="13.28515625" style="1" customWidth="1"/>
    <col min="15061" max="15061" width="19.7109375" style="1" customWidth="1"/>
    <col min="15062" max="15062" width="11.5703125" style="1" customWidth="1"/>
    <col min="15063" max="15063" width="23.28515625" style="1" customWidth="1"/>
    <col min="15064" max="15064" width="15.5703125" style="1" customWidth="1"/>
    <col min="15065" max="15307" width="9.140625" style="1"/>
    <col min="15308" max="15308" width="3.7109375" style="1" customWidth="1"/>
    <col min="15309" max="15309" width="12.85546875" style="1" customWidth="1"/>
    <col min="15310" max="15310" width="37.5703125" style="1" bestFit="1" customWidth="1"/>
    <col min="15311" max="15311" width="13.85546875" style="1" customWidth="1"/>
    <col min="15312" max="15312" width="13" style="1" customWidth="1"/>
    <col min="15313" max="15313" width="13.42578125" style="1" customWidth="1"/>
    <col min="15314" max="15314" width="11.28515625" style="1" customWidth="1"/>
    <col min="15315" max="15315" width="20.85546875" style="1" bestFit="1" customWidth="1"/>
    <col min="15316" max="15316" width="13.28515625" style="1" customWidth="1"/>
    <col min="15317" max="15317" width="19.7109375" style="1" customWidth="1"/>
    <col min="15318" max="15318" width="11.5703125" style="1" customWidth="1"/>
    <col min="15319" max="15319" width="23.28515625" style="1" customWidth="1"/>
    <col min="15320" max="15320" width="15.5703125" style="1" customWidth="1"/>
    <col min="15321" max="15563" width="9.140625" style="1"/>
    <col min="15564" max="15564" width="3.7109375" style="1" customWidth="1"/>
    <col min="15565" max="15565" width="12.85546875" style="1" customWidth="1"/>
    <col min="15566" max="15566" width="37.5703125" style="1" bestFit="1" customWidth="1"/>
    <col min="15567" max="15567" width="13.85546875" style="1" customWidth="1"/>
    <col min="15568" max="15568" width="13" style="1" customWidth="1"/>
    <col min="15569" max="15569" width="13.42578125" style="1" customWidth="1"/>
    <col min="15570" max="15570" width="11.28515625" style="1" customWidth="1"/>
    <col min="15571" max="15571" width="20.85546875" style="1" bestFit="1" customWidth="1"/>
    <col min="15572" max="15572" width="13.28515625" style="1" customWidth="1"/>
    <col min="15573" max="15573" width="19.7109375" style="1" customWidth="1"/>
    <col min="15574" max="15574" width="11.5703125" style="1" customWidth="1"/>
    <col min="15575" max="15575" width="23.28515625" style="1" customWidth="1"/>
    <col min="15576" max="15576" width="15.5703125" style="1" customWidth="1"/>
    <col min="15577" max="15819" width="9.140625" style="1"/>
    <col min="15820" max="15820" width="3.7109375" style="1" customWidth="1"/>
    <col min="15821" max="15821" width="12.85546875" style="1" customWidth="1"/>
    <col min="15822" max="15822" width="37.5703125" style="1" bestFit="1" customWidth="1"/>
    <col min="15823" max="15823" width="13.85546875" style="1" customWidth="1"/>
    <col min="15824" max="15824" width="13" style="1" customWidth="1"/>
    <col min="15825" max="15825" width="13.42578125" style="1" customWidth="1"/>
    <col min="15826" max="15826" width="11.28515625" style="1" customWidth="1"/>
    <col min="15827" max="15827" width="20.85546875" style="1" bestFit="1" customWidth="1"/>
    <col min="15828" max="15828" width="13.28515625" style="1" customWidth="1"/>
    <col min="15829" max="15829" width="19.7109375" style="1" customWidth="1"/>
    <col min="15830" max="15830" width="11.5703125" style="1" customWidth="1"/>
    <col min="15831" max="15831" width="23.28515625" style="1" customWidth="1"/>
    <col min="15832" max="15832" width="15.5703125" style="1" customWidth="1"/>
    <col min="15833" max="16075" width="9.140625" style="1"/>
    <col min="16076" max="16076" width="3.7109375" style="1" customWidth="1"/>
    <col min="16077" max="16077" width="12.85546875" style="1" customWidth="1"/>
    <col min="16078" max="16078" width="37.5703125" style="1" bestFit="1" customWidth="1"/>
    <col min="16079" max="16079" width="13.85546875" style="1" customWidth="1"/>
    <col min="16080" max="16080" width="13" style="1" customWidth="1"/>
    <col min="16081" max="16081" width="13.42578125" style="1" customWidth="1"/>
    <col min="16082" max="16082" width="11.28515625" style="1" customWidth="1"/>
    <col min="16083" max="16083" width="20.85546875" style="1" bestFit="1" customWidth="1"/>
    <col min="16084" max="16084" width="13.28515625" style="1" customWidth="1"/>
    <col min="16085" max="16085" width="19.7109375" style="1" customWidth="1"/>
    <col min="16086" max="16086" width="11.5703125" style="1" customWidth="1"/>
    <col min="16087" max="16087" width="23.28515625" style="1" customWidth="1"/>
    <col min="16088" max="16088" width="15.5703125" style="1" customWidth="1"/>
    <col min="16089" max="16384" width="9.140625" style="1"/>
  </cols>
  <sheetData>
    <row r="1" spans="1:17" ht="15.75">
      <c r="A1" s="124"/>
      <c r="B1" s="125"/>
      <c r="C1" s="125"/>
      <c r="D1" s="48"/>
    </row>
    <row r="2" spans="1:17" s="2" customFormat="1" ht="90.75" thickBot="1">
      <c r="A2" s="21" t="s">
        <v>0</v>
      </c>
      <c r="B2" s="10" t="s">
        <v>1</v>
      </c>
      <c r="C2" s="49" t="s">
        <v>2</v>
      </c>
      <c r="D2" s="49" t="s">
        <v>285</v>
      </c>
      <c r="G2" s="244">
        <v>0.8</v>
      </c>
      <c r="H2" s="244">
        <v>0.2</v>
      </c>
      <c r="I2" s="244">
        <v>0.75</v>
      </c>
      <c r="K2" s="123" t="s">
        <v>288</v>
      </c>
      <c r="L2" s="57" t="s">
        <v>289</v>
      </c>
      <c r="M2" s="57" t="s">
        <v>344</v>
      </c>
      <c r="N2" s="57" t="s">
        <v>345</v>
      </c>
      <c r="P2" s="30" t="s">
        <v>99</v>
      </c>
    </row>
    <row r="3" spans="1:17" ht="25.5">
      <c r="A3" s="126" t="s">
        <v>3</v>
      </c>
      <c r="B3" s="17" t="s">
        <v>85</v>
      </c>
      <c r="C3" s="50">
        <f>177214+154067</f>
        <v>331281</v>
      </c>
      <c r="D3" s="50">
        <f>40684+8088+59227</f>
        <v>107999</v>
      </c>
      <c r="G3" s="55">
        <f>D3*$G$2</f>
        <v>86399.200000000012</v>
      </c>
      <c r="H3" s="55">
        <f>G3-G3*$H$2</f>
        <v>69119.360000000015</v>
      </c>
      <c r="I3" s="55">
        <f>H3*$I$2</f>
        <v>51839.520000000011</v>
      </c>
      <c r="K3" s="31">
        <v>3500</v>
      </c>
      <c r="L3" s="251">
        <v>31</v>
      </c>
      <c r="M3" s="252">
        <v>15</v>
      </c>
      <c r="N3" s="31">
        <v>3</v>
      </c>
      <c r="O3" s="245">
        <f>N3-M3</f>
        <v>-12</v>
      </c>
      <c r="P3" s="31">
        <v>27</v>
      </c>
      <c r="Q3" s="55">
        <f>D3/P3</f>
        <v>3999.962962962963</v>
      </c>
    </row>
    <row r="4" spans="1:17" ht="12.75" customHeight="1">
      <c r="A4" s="127"/>
      <c r="B4" s="25" t="s">
        <v>86</v>
      </c>
      <c r="C4" s="50">
        <f>70018+65230</f>
        <v>135248</v>
      </c>
      <c r="D4" s="50">
        <f>15209+2812+31275</f>
        <v>49296</v>
      </c>
      <c r="G4" s="55">
        <f t="shared" ref="G4:G67" si="0">D4*$G$2</f>
        <v>39436.800000000003</v>
      </c>
      <c r="H4" s="55">
        <f t="shared" ref="H4:H67" si="1">G4-G4*$H$2</f>
        <v>31549.440000000002</v>
      </c>
      <c r="I4" s="55">
        <f t="shared" ref="I4:I67" si="2">H4*$I$2</f>
        <v>23662.080000000002</v>
      </c>
      <c r="K4" s="31"/>
      <c r="L4" s="251">
        <v>14</v>
      </c>
      <c r="M4" s="252">
        <v>7</v>
      </c>
      <c r="N4" s="31">
        <v>3</v>
      </c>
      <c r="O4" s="245">
        <f>N4-M4</f>
        <v>-4</v>
      </c>
      <c r="P4" s="31">
        <v>17</v>
      </c>
      <c r="Q4" s="55">
        <f>D4/P4</f>
        <v>2899.7647058823532</v>
      </c>
    </row>
    <row r="5" spans="1:17" ht="12.75" customHeight="1">
      <c r="A5" s="127"/>
      <c r="B5" s="3" t="s">
        <v>84</v>
      </c>
      <c r="C5" s="50">
        <f>111903+138493</f>
        <v>250396</v>
      </c>
      <c r="D5" s="50">
        <f>11680+4954+57159</f>
        <v>73793</v>
      </c>
      <c r="G5" s="55">
        <f t="shared" si="0"/>
        <v>59034.400000000001</v>
      </c>
      <c r="H5" s="55">
        <f t="shared" si="1"/>
        <v>47227.520000000004</v>
      </c>
      <c r="I5" s="55">
        <f t="shared" si="2"/>
        <v>35420.639999999999</v>
      </c>
      <c r="K5" s="31"/>
      <c r="L5" s="251">
        <v>21</v>
      </c>
      <c r="M5" s="252">
        <v>10</v>
      </c>
      <c r="N5" s="31">
        <v>3</v>
      </c>
      <c r="O5" s="245">
        <f>N5-M5</f>
        <v>-7</v>
      </c>
      <c r="P5" s="31">
        <v>38</v>
      </c>
      <c r="Q5" s="55">
        <f>D5/P5</f>
        <v>1941.921052631579</v>
      </c>
    </row>
    <row r="6" spans="1:17" ht="12.75" customHeight="1">
      <c r="A6" s="127"/>
      <c r="B6" s="3" t="s">
        <v>87</v>
      </c>
      <c r="C6" s="50">
        <f>49052+39286</f>
        <v>88338</v>
      </c>
      <c r="D6" s="50">
        <f>10543+2800+24674</f>
        <v>38017</v>
      </c>
      <c r="G6" s="55">
        <f t="shared" si="0"/>
        <v>30413.600000000002</v>
      </c>
      <c r="H6" s="55">
        <f t="shared" si="1"/>
        <v>24330.880000000001</v>
      </c>
      <c r="I6" s="55">
        <f t="shared" si="2"/>
        <v>18248.16</v>
      </c>
      <c r="K6" s="31"/>
      <c r="L6" s="251">
        <v>11</v>
      </c>
      <c r="M6" s="252">
        <v>5</v>
      </c>
      <c r="N6" s="31">
        <v>3</v>
      </c>
      <c r="O6" s="245">
        <f>N6-M6</f>
        <v>-2</v>
      </c>
      <c r="P6" s="31">
        <v>10</v>
      </c>
      <c r="Q6" s="55">
        <f>D6/P6</f>
        <v>3801.7</v>
      </c>
    </row>
    <row r="7" spans="1:17" ht="12.75" customHeight="1">
      <c r="A7" s="127"/>
      <c r="B7" s="3" t="s">
        <v>88</v>
      </c>
      <c r="C7" s="50">
        <f>125610+177844</f>
        <v>303454</v>
      </c>
      <c r="D7" s="50">
        <f>39167+7679+59769</f>
        <v>106615</v>
      </c>
      <c r="G7" s="55">
        <f t="shared" si="0"/>
        <v>85292</v>
      </c>
      <c r="H7" s="55">
        <f t="shared" si="1"/>
        <v>68233.600000000006</v>
      </c>
      <c r="I7" s="55">
        <f t="shared" si="2"/>
        <v>51175.200000000004</v>
      </c>
      <c r="K7" s="31"/>
      <c r="L7" s="251">
        <v>30</v>
      </c>
      <c r="M7" s="252">
        <v>15</v>
      </c>
      <c r="N7" s="31">
        <v>7</v>
      </c>
      <c r="O7" s="245">
        <f>N7-M7</f>
        <v>-8</v>
      </c>
      <c r="P7" s="31">
        <v>23</v>
      </c>
      <c r="Q7" s="55">
        <f>D7/P7</f>
        <v>4635.434782608696</v>
      </c>
    </row>
    <row r="8" spans="1:17" ht="15.75" thickBot="1">
      <c r="A8" s="22"/>
      <c r="B8" s="12"/>
      <c r="C8" s="51"/>
      <c r="D8" s="51"/>
      <c r="F8" s="55"/>
      <c r="G8" s="55">
        <f t="shared" si="0"/>
        <v>0</v>
      </c>
      <c r="H8" s="55">
        <f t="shared" si="1"/>
        <v>0</v>
      </c>
      <c r="I8" s="55">
        <f>SUM(I3:I7)</f>
        <v>180345.60000000001</v>
      </c>
      <c r="J8" s="55"/>
      <c r="K8" s="20"/>
      <c r="L8" s="20"/>
      <c r="M8" s="20"/>
      <c r="N8" s="20"/>
      <c r="O8" s="245"/>
      <c r="P8" s="51"/>
      <c r="Q8" s="55"/>
    </row>
    <row r="9" spans="1:17" ht="15" customHeight="1">
      <c r="A9" s="126" t="s">
        <v>4</v>
      </c>
      <c r="B9" s="13" t="s">
        <v>5</v>
      </c>
      <c r="C9" s="50">
        <v>125103</v>
      </c>
      <c r="D9" s="50">
        <f>ბენეფიციარები!D67+ბენეფიციარები!F67+ბენეფიციარები!H67</f>
        <v>35809</v>
      </c>
      <c r="G9" s="55">
        <f t="shared" si="0"/>
        <v>28647.200000000001</v>
      </c>
      <c r="H9" s="55">
        <f t="shared" si="1"/>
        <v>22917.760000000002</v>
      </c>
      <c r="I9" s="55">
        <f t="shared" si="2"/>
        <v>17188.32</v>
      </c>
      <c r="K9" s="31">
        <v>14000</v>
      </c>
      <c r="L9" s="250">
        <v>3</v>
      </c>
      <c r="M9" s="249">
        <v>1</v>
      </c>
      <c r="N9" s="31">
        <v>2</v>
      </c>
      <c r="O9" s="245">
        <f>N9-M9</f>
        <v>1</v>
      </c>
      <c r="P9" s="31">
        <v>6</v>
      </c>
      <c r="Q9" s="55">
        <f>D9/P9</f>
        <v>5968.166666666667</v>
      </c>
    </row>
    <row r="10" spans="1:17" ht="12.75" customHeight="1">
      <c r="A10" s="127"/>
      <c r="B10" s="26" t="s">
        <v>6</v>
      </c>
      <c r="C10" s="50">
        <v>53590</v>
      </c>
      <c r="D10" s="50">
        <f>ბენეფიციარები!D62+ბენეფიციარები!F62+ბენეფიციარები!H62</f>
        <v>20693</v>
      </c>
      <c r="G10" s="55">
        <f t="shared" si="0"/>
        <v>16554.400000000001</v>
      </c>
      <c r="H10" s="55">
        <f t="shared" si="1"/>
        <v>13243.52</v>
      </c>
      <c r="I10" s="55">
        <f t="shared" si="2"/>
        <v>9932.64</v>
      </c>
      <c r="K10" s="31"/>
      <c r="L10" s="250">
        <v>1</v>
      </c>
      <c r="M10" s="249">
        <v>1</v>
      </c>
      <c r="N10" s="31">
        <v>1</v>
      </c>
      <c r="O10" s="245">
        <f>N10-M10</f>
        <v>0</v>
      </c>
      <c r="P10" s="31">
        <v>2</v>
      </c>
      <c r="Q10" s="55">
        <f>D10/P10</f>
        <v>10346.5</v>
      </c>
    </row>
    <row r="11" spans="1:17">
      <c r="A11" s="127"/>
      <c r="B11" s="14" t="s">
        <v>7</v>
      </c>
      <c r="C11" s="50">
        <v>81876</v>
      </c>
      <c r="D11" s="50">
        <f>ბენეფიციარები!D63+ბენეფიციარები!F63+ბენეფიციარები!H63</f>
        <v>26071</v>
      </c>
      <c r="G11" s="55">
        <f t="shared" si="0"/>
        <v>20856.800000000003</v>
      </c>
      <c r="H11" s="55">
        <f t="shared" si="1"/>
        <v>16685.440000000002</v>
      </c>
      <c r="I11" s="55">
        <f t="shared" si="2"/>
        <v>12514.080000000002</v>
      </c>
      <c r="K11" s="31"/>
      <c r="L11" s="250">
        <v>2</v>
      </c>
      <c r="M11" s="249">
        <v>1</v>
      </c>
      <c r="N11" s="31">
        <v>1</v>
      </c>
      <c r="O11" s="245">
        <f>N11-M11</f>
        <v>0</v>
      </c>
      <c r="P11" s="31">
        <v>1</v>
      </c>
      <c r="Q11" s="55">
        <f>D11/P11</f>
        <v>26071</v>
      </c>
    </row>
    <row r="12" spans="1:17" ht="12.75" customHeight="1">
      <c r="A12" s="127"/>
      <c r="B12" s="4" t="s">
        <v>8</v>
      </c>
      <c r="C12" s="50">
        <v>19141</v>
      </c>
      <c r="D12" s="50">
        <f>ბენეფიციარები!D64+ბენეფიციარები!F64+ბენეფიციარები!H64</f>
        <v>11224</v>
      </c>
      <c r="E12" s="1" t="s">
        <v>92</v>
      </c>
      <c r="G12" s="55">
        <f t="shared" si="0"/>
        <v>8979.2000000000007</v>
      </c>
      <c r="H12" s="55">
        <f t="shared" si="1"/>
        <v>7183.3600000000006</v>
      </c>
      <c r="I12" s="55">
        <f t="shared" si="2"/>
        <v>5387.52</v>
      </c>
      <c r="K12" s="31"/>
      <c r="L12" s="250">
        <v>1</v>
      </c>
      <c r="M12" s="249">
        <v>0</v>
      </c>
      <c r="N12" s="31">
        <v>1</v>
      </c>
      <c r="O12" s="245">
        <f>N12-M12</f>
        <v>1</v>
      </c>
      <c r="P12" s="31">
        <v>1</v>
      </c>
      <c r="Q12" s="55">
        <f>D12/P12</f>
        <v>11224</v>
      </c>
    </row>
    <row r="13" spans="1:17">
      <c r="A13" s="127"/>
      <c r="B13" s="14" t="s">
        <v>9</v>
      </c>
      <c r="C13" s="50">
        <v>21127</v>
      </c>
      <c r="D13" s="50">
        <f>ბენეფიციარები!D65+ბენეფიციარები!F65+ბენეფიციარები!H65</f>
        <v>13443</v>
      </c>
      <c r="E13" s="1" t="s">
        <v>91</v>
      </c>
      <c r="G13" s="55">
        <f t="shared" si="0"/>
        <v>10754.400000000001</v>
      </c>
      <c r="H13" s="55">
        <f t="shared" si="1"/>
        <v>8603.52</v>
      </c>
      <c r="I13" s="55">
        <f t="shared" si="2"/>
        <v>6452.64</v>
      </c>
      <c r="K13" s="31"/>
      <c r="L13" s="250">
        <v>1</v>
      </c>
      <c r="M13" s="249">
        <v>0</v>
      </c>
      <c r="N13" s="31">
        <v>1</v>
      </c>
      <c r="O13" s="245">
        <f>N13-M13</f>
        <v>1</v>
      </c>
      <c r="P13" s="31"/>
      <c r="Q13" s="55"/>
    </row>
    <row r="14" spans="1:17">
      <c r="A14" s="127"/>
      <c r="B14" s="14" t="s">
        <v>10</v>
      </c>
      <c r="C14" s="50">
        <v>104300</v>
      </c>
      <c r="D14" s="50">
        <f>ბენეფიციარები!D66+ბენეფიციარები!F66+ბენეფიციარები!H66</f>
        <v>30080</v>
      </c>
      <c r="G14" s="55">
        <f t="shared" si="0"/>
        <v>24064</v>
      </c>
      <c r="H14" s="55">
        <f t="shared" si="1"/>
        <v>19251.2</v>
      </c>
      <c r="I14" s="55">
        <f t="shared" si="2"/>
        <v>14438.400000000001</v>
      </c>
      <c r="K14" s="31"/>
      <c r="L14" s="250">
        <v>2</v>
      </c>
      <c r="M14" s="249">
        <v>1</v>
      </c>
      <c r="N14" s="31">
        <v>1</v>
      </c>
      <c r="O14" s="245">
        <f>N14-M14</f>
        <v>0</v>
      </c>
      <c r="P14" s="31">
        <v>2</v>
      </c>
      <c r="Q14" s="55">
        <f>D14/P14</f>
        <v>15040</v>
      </c>
    </row>
    <row r="15" spans="1:17" ht="15.75" thickBot="1">
      <c r="A15" s="128"/>
      <c r="B15" s="15" t="s">
        <v>11</v>
      </c>
      <c r="C15" s="50">
        <v>18849</v>
      </c>
      <c r="D15" s="50">
        <f>ბენეფიციარები!D68+ბენეფიციარები!F68+ბენეფიციარები!H68</f>
        <v>11354</v>
      </c>
      <c r="E15" s="1" t="s">
        <v>91</v>
      </c>
      <c r="G15" s="55">
        <f t="shared" si="0"/>
        <v>9083.2000000000007</v>
      </c>
      <c r="H15" s="55">
        <f t="shared" si="1"/>
        <v>7266.56</v>
      </c>
      <c r="I15" s="55">
        <f t="shared" si="2"/>
        <v>5449.92</v>
      </c>
      <c r="K15" s="31"/>
      <c r="L15" s="250">
        <v>1</v>
      </c>
      <c r="M15" s="249">
        <v>0</v>
      </c>
      <c r="N15" s="31">
        <v>1</v>
      </c>
      <c r="O15" s="245">
        <f>N15-M15</f>
        <v>1</v>
      </c>
      <c r="P15" s="31"/>
      <c r="Q15" s="55"/>
    </row>
    <row r="16" spans="1:17" ht="15.75" thickBot="1">
      <c r="A16" s="22"/>
      <c r="B16" s="12"/>
      <c r="C16" s="51"/>
      <c r="D16" s="51"/>
      <c r="F16" s="55"/>
      <c r="G16" s="55">
        <f t="shared" si="0"/>
        <v>0</v>
      </c>
      <c r="H16" s="55">
        <f t="shared" si="1"/>
        <v>0</v>
      </c>
      <c r="I16" s="55">
        <f>SUM(I9:I15)</f>
        <v>71363.520000000004</v>
      </c>
      <c r="J16" s="55"/>
      <c r="K16" s="20"/>
      <c r="L16" s="20"/>
      <c r="M16" s="20"/>
      <c r="N16" s="20"/>
      <c r="O16" s="245"/>
      <c r="P16" s="51"/>
      <c r="Q16" s="55"/>
    </row>
    <row r="17" spans="1:17" ht="12.75" customHeight="1">
      <c r="A17" s="126" t="s">
        <v>12</v>
      </c>
      <c r="B17" s="27" t="s">
        <v>13</v>
      </c>
      <c r="C17" s="50">
        <v>125692</v>
      </c>
      <c r="D17" s="50">
        <f>ბენეფიციარები!D69+ბენეფიციარები!F69+ბენეფიციარები!H69+ბენეფიციარები!D70+ბენეფიციარები!F70+ბენეფიციარები!H70+ბენეფიციარები!D40+ბენეფიციარები!F40+ბენეფიციარები!H40</f>
        <v>56151</v>
      </c>
      <c r="G17" s="55">
        <f t="shared" si="0"/>
        <v>44920.800000000003</v>
      </c>
      <c r="H17" s="55">
        <f t="shared" si="1"/>
        <v>35936.639999999999</v>
      </c>
      <c r="I17" s="55">
        <f t="shared" si="2"/>
        <v>26952.48</v>
      </c>
      <c r="K17" s="31">
        <v>16000</v>
      </c>
      <c r="L17" s="250">
        <v>4</v>
      </c>
      <c r="M17" s="249">
        <v>2</v>
      </c>
      <c r="N17" s="31">
        <v>2</v>
      </c>
      <c r="O17" s="245">
        <f>N17-M17</f>
        <v>0</v>
      </c>
      <c r="P17" s="31">
        <v>4</v>
      </c>
      <c r="Q17" s="55">
        <f>D17/P17</f>
        <v>14037.75</v>
      </c>
    </row>
    <row r="18" spans="1:17">
      <c r="A18" s="127"/>
      <c r="B18" s="14" t="s">
        <v>14</v>
      </c>
      <c r="C18" s="50">
        <v>43771</v>
      </c>
      <c r="D18" s="50">
        <f>ბენეფიციარები!D71+ბენეფიციარები!F71+ბენეფიციარები!H71</f>
        <v>20569</v>
      </c>
      <c r="G18" s="55">
        <f t="shared" si="0"/>
        <v>16455.2</v>
      </c>
      <c r="H18" s="55">
        <f t="shared" si="1"/>
        <v>13164.16</v>
      </c>
      <c r="I18" s="55">
        <f t="shared" si="2"/>
        <v>9873.119999999999</v>
      </c>
      <c r="K18" s="31"/>
      <c r="L18" s="250">
        <v>1</v>
      </c>
      <c r="M18" s="249">
        <v>1</v>
      </c>
      <c r="N18" s="31">
        <v>1</v>
      </c>
      <c r="O18" s="245">
        <f>N18-M18</f>
        <v>0</v>
      </c>
      <c r="P18" s="31">
        <v>1</v>
      </c>
      <c r="Q18" s="55">
        <f>D18/P18</f>
        <v>20569</v>
      </c>
    </row>
    <row r="19" spans="1:17">
      <c r="A19" s="127"/>
      <c r="B19" s="14" t="s">
        <v>15</v>
      </c>
      <c r="C19" s="50">
        <v>41316</v>
      </c>
      <c r="D19" s="50">
        <f>ბენეფიციარები!D72+ბენეფიციარები!F72+ბენეფიციარები!H72</f>
        <v>21344</v>
      </c>
      <c r="E19" s="1" t="s">
        <v>94</v>
      </c>
      <c r="G19" s="55">
        <f t="shared" si="0"/>
        <v>17075.2</v>
      </c>
      <c r="H19" s="55">
        <f t="shared" si="1"/>
        <v>13660.16</v>
      </c>
      <c r="I19" s="55">
        <f t="shared" si="2"/>
        <v>10245.119999999999</v>
      </c>
      <c r="K19" s="31"/>
      <c r="L19" s="250">
        <v>1</v>
      </c>
      <c r="M19" s="249">
        <v>1</v>
      </c>
      <c r="N19" s="31">
        <v>1</v>
      </c>
      <c r="O19" s="245">
        <f>N19-M19</f>
        <v>0</v>
      </c>
      <c r="P19" s="31">
        <v>1</v>
      </c>
      <c r="Q19" s="55">
        <f>D19/P19</f>
        <v>21344</v>
      </c>
    </row>
    <row r="20" spans="1:17" ht="15.75" thickBot="1">
      <c r="A20" s="128"/>
      <c r="B20" s="15" t="s">
        <v>16</v>
      </c>
      <c r="C20" s="50">
        <v>52603</v>
      </c>
      <c r="D20" s="50">
        <f>ბენეფიციარები!D73+ბენეფიციარები!F73+ბენეფიციარები!H73</f>
        <v>24729</v>
      </c>
      <c r="G20" s="55">
        <f t="shared" si="0"/>
        <v>19783.2</v>
      </c>
      <c r="H20" s="55">
        <f t="shared" si="1"/>
        <v>15826.560000000001</v>
      </c>
      <c r="I20" s="55">
        <f t="shared" si="2"/>
        <v>11869.920000000002</v>
      </c>
      <c r="K20" s="31"/>
      <c r="L20" s="250">
        <v>2</v>
      </c>
      <c r="M20" s="249">
        <v>1</v>
      </c>
      <c r="N20" s="31">
        <v>1</v>
      </c>
      <c r="O20" s="245">
        <f>N20-M20</f>
        <v>0</v>
      </c>
      <c r="P20" s="31">
        <v>3</v>
      </c>
      <c r="Q20" s="55">
        <f>D20/P20</f>
        <v>8243</v>
      </c>
    </row>
    <row r="21" spans="1:17" ht="15.75" thickBot="1">
      <c r="A21" s="22"/>
      <c r="B21" s="12"/>
      <c r="C21" s="51"/>
      <c r="D21" s="51"/>
      <c r="F21" s="55"/>
      <c r="G21" s="55">
        <f t="shared" si="0"/>
        <v>0</v>
      </c>
      <c r="H21" s="55">
        <f t="shared" si="1"/>
        <v>0</v>
      </c>
      <c r="I21" s="55">
        <f>SUM(I17:I20)</f>
        <v>58940.639999999999</v>
      </c>
      <c r="J21" s="55"/>
      <c r="K21" s="20"/>
      <c r="L21" s="20"/>
      <c r="M21" s="20"/>
      <c r="N21" s="20"/>
      <c r="O21" s="245"/>
      <c r="P21" s="51"/>
      <c r="Q21" s="55"/>
    </row>
    <row r="22" spans="1:17" ht="21" customHeight="1">
      <c r="A22" s="126" t="s">
        <v>17</v>
      </c>
      <c r="B22" s="17" t="s">
        <v>18</v>
      </c>
      <c r="C22" s="50">
        <v>25214</v>
      </c>
      <c r="D22" s="50">
        <f>ბენეფიციარები!D60+ბენეფიციარები!F60+ბენეფიციარები!H60</f>
        <v>10559</v>
      </c>
      <c r="G22" s="55">
        <f t="shared" si="0"/>
        <v>8447.2000000000007</v>
      </c>
      <c r="H22" s="55">
        <f t="shared" si="1"/>
        <v>6757.76</v>
      </c>
      <c r="I22" s="55">
        <f t="shared" si="2"/>
        <v>5068.32</v>
      </c>
      <c r="K22" s="31">
        <v>7500</v>
      </c>
      <c r="L22" s="248">
        <v>1</v>
      </c>
      <c r="M22" s="249">
        <v>1</v>
      </c>
      <c r="N22" s="31">
        <v>1</v>
      </c>
      <c r="O22" s="245">
        <f>N22-M22</f>
        <v>0</v>
      </c>
      <c r="P22" s="31">
        <v>2</v>
      </c>
      <c r="Q22" s="55">
        <f>D22/P22</f>
        <v>5279.5</v>
      </c>
    </row>
    <row r="23" spans="1:17">
      <c r="A23" s="127"/>
      <c r="B23" s="5" t="s">
        <v>19</v>
      </c>
      <c r="C23" s="50">
        <v>38895</v>
      </c>
      <c r="D23" s="50">
        <f>ბენეფიციარები!D58+ბენეფიციარები!F58+ბენეფიციარები!H58+ბენეფიციარები!D59+ბენეფიციარები!F59+ბენეფიციარები!H59</f>
        <v>12996</v>
      </c>
      <c r="G23" s="55">
        <f t="shared" si="0"/>
        <v>10396.800000000001</v>
      </c>
      <c r="H23" s="55">
        <f t="shared" si="1"/>
        <v>8317.44</v>
      </c>
      <c r="I23" s="55">
        <f t="shared" si="2"/>
        <v>6238.08</v>
      </c>
      <c r="K23" s="31"/>
      <c r="L23" s="248">
        <v>2</v>
      </c>
      <c r="M23" s="249">
        <v>1</v>
      </c>
      <c r="N23" s="31">
        <v>1</v>
      </c>
      <c r="O23" s="245">
        <f>N23-M23</f>
        <v>0</v>
      </c>
      <c r="P23" s="31">
        <v>3</v>
      </c>
      <c r="Q23" s="55">
        <f>D23/P23</f>
        <v>4332</v>
      </c>
    </row>
    <row r="24" spans="1:17">
      <c r="A24" s="127"/>
      <c r="B24" s="14" t="s">
        <v>20</v>
      </c>
      <c r="C24" s="50">
        <v>16462</v>
      </c>
      <c r="D24" s="50">
        <f>ბენეფიციარები!D55+ბენეფიციარები!F55+ბენეფიციარები!H55</f>
        <v>6957</v>
      </c>
      <c r="G24" s="55">
        <f t="shared" si="0"/>
        <v>5565.6</v>
      </c>
      <c r="H24" s="55">
        <f t="shared" si="1"/>
        <v>4452.4800000000005</v>
      </c>
      <c r="I24" s="55">
        <f t="shared" si="2"/>
        <v>3339.3600000000006</v>
      </c>
      <c r="K24" s="31"/>
      <c r="L24" s="248">
        <v>1</v>
      </c>
      <c r="M24" s="249">
        <v>0</v>
      </c>
      <c r="N24" s="31">
        <v>1</v>
      </c>
      <c r="O24" s="245">
        <f>N24-M24</f>
        <v>1</v>
      </c>
      <c r="P24" s="31"/>
      <c r="Q24" s="55"/>
    </row>
    <row r="25" spans="1:17" ht="12.75" customHeight="1">
      <c r="A25" s="127"/>
      <c r="B25" s="4" t="s">
        <v>21</v>
      </c>
      <c r="C25" s="50">
        <v>10372</v>
      </c>
      <c r="D25" s="50">
        <f>ბენეფიციარები!D56+ბენეფიციარები!F56+ბენეფიციარები!H56</f>
        <v>4377</v>
      </c>
      <c r="E25" s="1" t="s">
        <v>92</v>
      </c>
      <c r="G25" s="55">
        <f t="shared" si="0"/>
        <v>3501.6000000000004</v>
      </c>
      <c r="H25" s="55">
        <f t="shared" si="1"/>
        <v>2801.28</v>
      </c>
      <c r="I25" s="55">
        <f t="shared" si="2"/>
        <v>2100.96</v>
      </c>
      <c r="K25" s="31"/>
      <c r="L25" s="248">
        <v>1</v>
      </c>
      <c r="M25" s="249">
        <v>0</v>
      </c>
      <c r="N25" s="31">
        <v>1</v>
      </c>
      <c r="O25" s="245">
        <f>N25-M25</f>
        <v>1</v>
      </c>
      <c r="P25" s="31"/>
      <c r="Q25" s="55"/>
    </row>
    <row r="26" spans="1:17">
      <c r="A26" s="127"/>
      <c r="B26" s="14" t="s">
        <v>22</v>
      </c>
      <c r="C26" s="50">
        <v>45070</v>
      </c>
      <c r="D26" s="50">
        <f>ბენეფიციარები!D57+ბენეფიციარები!F57+ბენეფიციარები!H57</f>
        <v>12827</v>
      </c>
      <c r="G26" s="55">
        <f t="shared" si="0"/>
        <v>10261.6</v>
      </c>
      <c r="H26" s="55">
        <f t="shared" si="1"/>
        <v>8209.2800000000007</v>
      </c>
      <c r="I26" s="55">
        <f t="shared" si="2"/>
        <v>6156.9600000000009</v>
      </c>
      <c r="K26" s="31"/>
      <c r="L26" s="248">
        <v>2</v>
      </c>
      <c r="M26" s="249">
        <v>1</v>
      </c>
      <c r="N26" s="31">
        <v>1</v>
      </c>
      <c r="O26" s="245">
        <f>N26-M26</f>
        <v>0</v>
      </c>
      <c r="P26" s="31">
        <v>1</v>
      </c>
      <c r="Q26" s="55">
        <f>D26/P26</f>
        <v>12827</v>
      </c>
    </row>
    <row r="27" spans="1:17" ht="15.75" thickBot="1">
      <c r="A27" s="128"/>
      <c r="B27" s="15" t="s">
        <v>23</v>
      </c>
      <c r="C27" s="50">
        <v>24491</v>
      </c>
      <c r="D27" s="50">
        <f>ბენეფიციარები!D61+ბენეფიციარები!F61+ბენეფიციარები!H61</f>
        <v>6849</v>
      </c>
      <c r="G27" s="55">
        <f t="shared" si="0"/>
        <v>5479.2000000000007</v>
      </c>
      <c r="H27" s="55">
        <f t="shared" si="1"/>
        <v>4383.3600000000006</v>
      </c>
      <c r="I27" s="55">
        <f t="shared" si="2"/>
        <v>3287.5200000000004</v>
      </c>
      <c r="K27" s="31"/>
      <c r="L27" s="248"/>
      <c r="M27" s="249">
        <v>0</v>
      </c>
      <c r="N27" s="31"/>
      <c r="O27" s="245"/>
      <c r="P27" s="31"/>
      <c r="Q27" s="55"/>
    </row>
    <row r="28" spans="1:17" ht="15.75" thickBot="1">
      <c r="A28" s="22"/>
      <c r="B28" s="12"/>
      <c r="C28" s="51"/>
      <c r="D28" s="51"/>
      <c r="F28" s="55"/>
      <c r="G28" s="55">
        <f t="shared" si="0"/>
        <v>0</v>
      </c>
      <c r="H28" s="55">
        <f t="shared" si="1"/>
        <v>0</v>
      </c>
      <c r="I28" s="55">
        <f>SUM(I22:I27)</f>
        <v>26191.200000000001</v>
      </c>
      <c r="J28" s="55"/>
      <c r="K28" s="20"/>
      <c r="L28" s="20"/>
      <c r="M28" s="20"/>
      <c r="N28" s="20"/>
      <c r="O28" s="245"/>
      <c r="P28" s="51"/>
      <c r="Q28" s="55"/>
    </row>
    <row r="29" spans="1:17">
      <c r="A29" s="126" t="s">
        <v>24</v>
      </c>
      <c r="B29" s="17" t="s">
        <v>25</v>
      </c>
      <c r="C29" s="50">
        <f>7940+47711</f>
        <v>55651</v>
      </c>
      <c r="D29" s="50">
        <f>ბენეფიციარები!D43+ბენეფიციარები!F43+ბენეფიციარები!H43+ბენეფიციარები!D44+ბენეფიციარები!F44+ბენეფიციარები!H44</f>
        <v>17155</v>
      </c>
      <c r="G29" s="55">
        <f t="shared" si="0"/>
        <v>13724</v>
      </c>
      <c r="H29" s="55">
        <f t="shared" si="1"/>
        <v>10979.2</v>
      </c>
      <c r="I29" s="55">
        <f t="shared" si="2"/>
        <v>8234.4000000000015</v>
      </c>
      <c r="K29" s="31">
        <v>16500</v>
      </c>
      <c r="L29" s="248">
        <v>1</v>
      </c>
      <c r="M29" s="249">
        <v>0</v>
      </c>
      <c r="N29" s="31">
        <v>1</v>
      </c>
      <c r="O29" s="245">
        <f>N29-M29</f>
        <v>1</v>
      </c>
      <c r="P29" s="31">
        <v>1</v>
      </c>
      <c r="Q29" s="55">
        <f>D29/P29</f>
        <v>17155</v>
      </c>
    </row>
    <row r="30" spans="1:17">
      <c r="A30" s="127"/>
      <c r="B30" s="11" t="s">
        <v>26</v>
      </c>
      <c r="C30" s="50">
        <v>25659</v>
      </c>
      <c r="D30" s="50">
        <f>ბენეფიციარები!D41+ბენეფიციარები!F41+ბენეფიციარები!H41</f>
        <v>15887</v>
      </c>
      <c r="G30" s="55">
        <f t="shared" si="0"/>
        <v>12709.6</v>
      </c>
      <c r="H30" s="55">
        <f t="shared" si="1"/>
        <v>10167.68</v>
      </c>
      <c r="I30" s="55">
        <f t="shared" si="2"/>
        <v>7625.76</v>
      </c>
      <c r="K30" s="31"/>
      <c r="L30" s="248">
        <v>1</v>
      </c>
      <c r="M30" s="249">
        <v>0</v>
      </c>
      <c r="N30" s="31">
        <v>1</v>
      </c>
      <c r="O30" s="245">
        <f>N30-M30</f>
        <v>1</v>
      </c>
      <c r="P30" s="31">
        <v>1</v>
      </c>
      <c r="Q30" s="55">
        <f>D30/P30</f>
        <v>15887</v>
      </c>
    </row>
    <row r="31" spans="1:17" ht="17.25" customHeight="1">
      <c r="A31" s="127"/>
      <c r="B31" s="11" t="s">
        <v>27</v>
      </c>
      <c r="C31" s="50">
        <v>9468</v>
      </c>
      <c r="D31" s="50">
        <f>ბენეფიციარები!D42+ბენეფიციარები!F42+ბენეფიციარები!H42</f>
        <v>5808</v>
      </c>
      <c r="E31" s="1" t="s">
        <v>91</v>
      </c>
      <c r="G31" s="55">
        <f t="shared" si="0"/>
        <v>4646.4000000000005</v>
      </c>
      <c r="H31" s="55">
        <f t="shared" si="1"/>
        <v>3717.1200000000003</v>
      </c>
      <c r="I31" s="55">
        <f t="shared" si="2"/>
        <v>2787.84</v>
      </c>
      <c r="K31" s="31"/>
      <c r="L31" s="248">
        <v>0</v>
      </c>
      <c r="M31" s="249">
        <v>0</v>
      </c>
      <c r="N31" s="31">
        <v>1</v>
      </c>
      <c r="O31" s="245">
        <f>N31-M31</f>
        <v>1</v>
      </c>
      <c r="P31" s="31"/>
      <c r="Q31" s="55"/>
    </row>
    <row r="32" spans="1:17" ht="15.75" thickBot="1">
      <c r="A32" s="128"/>
      <c r="B32" s="18" t="s">
        <v>28</v>
      </c>
      <c r="C32" s="50">
        <v>3795</v>
      </c>
      <c r="D32" s="50">
        <f>ბენეფიციარები!D45+ბენეფიციარები!F45+ბენეფიციარები!H45</f>
        <v>2243</v>
      </c>
      <c r="E32" s="1" t="s">
        <v>91</v>
      </c>
      <c r="G32" s="55">
        <f t="shared" si="0"/>
        <v>1794.4</v>
      </c>
      <c r="H32" s="55">
        <f t="shared" si="1"/>
        <v>1435.52</v>
      </c>
      <c r="I32" s="55">
        <f t="shared" si="2"/>
        <v>1076.6399999999999</v>
      </c>
      <c r="K32" s="31"/>
      <c r="L32" s="248">
        <v>0</v>
      </c>
      <c r="M32" s="249">
        <v>0</v>
      </c>
      <c r="N32" s="31">
        <v>1</v>
      </c>
      <c r="O32" s="245">
        <f>N32-M32</f>
        <v>1</v>
      </c>
      <c r="P32" s="31"/>
      <c r="Q32" s="55"/>
    </row>
    <row r="33" spans="1:17" ht="15.75" thickBot="1">
      <c r="A33" s="22"/>
      <c r="B33" s="12"/>
      <c r="C33" s="51"/>
      <c r="D33" s="51"/>
      <c r="F33" s="55"/>
      <c r="G33" s="55">
        <f t="shared" si="0"/>
        <v>0</v>
      </c>
      <c r="H33" s="55">
        <f t="shared" si="1"/>
        <v>0</v>
      </c>
      <c r="I33" s="55">
        <f>SUM(I29:I32)</f>
        <v>19724.64</v>
      </c>
      <c r="J33" s="55"/>
      <c r="K33" s="20"/>
      <c r="L33" s="20"/>
      <c r="M33" s="20"/>
      <c r="N33" s="20"/>
      <c r="O33" s="245"/>
      <c r="P33" s="51"/>
      <c r="Q33" s="55"/>
    </row>
    <row r="34" spans="1:17">
      <c r="A34" s="126" t="s">
        <v>29</v>
      </c>
      <c r="B34" s="17" t="s">
        <v>30</v>
      </c>
      <c r="C34" s="50">
        <v>58350</v>
      </c>
      <c r="D34" s="50">
        <f>ბენეფიციარები!D22+ბენეფიციარები!F22+ბენეფიციარები!H22+ბენეფიციარები!D23+ბენეფიციარები!F23+ბენეფიციარები!H23</f>
        <v>23607</v>
      </c>
      <c r="G34" s="55">
        <f t="shared" si="0"/>
        <v>18885.600000000002</v>
      </c>
      <c r="H34" s="55">
        <f t="shared" si="1"/>
        <v>15108.480000000001</v>
      </c>
      <c r="I34" s="55">
        <f t="shared" si="2"/>
        <v>11331.36</v>
      </c>
      <c r="K34" s="31">
        <v>15000</v>
      </c>
      <c r="L34" s="248">
        <v>2</v>
      </c>
      <c r="M34" s="249">
        <v>1</v>
      </c>
      <c r="N34" s="31">
        <v>1</v>
      </c>
      <c r="O34" s="245">
        <f>N34-M34</f>
        <v>0</v>
      </c>
      <c r="P34" s="31">
        <v>2</v>
      </c>
      <c r="Q34" s="55">
        <f>D34/P34</f>
        <v>11803.5</v>
      </c>
    </row>
    <row r="35" spans="1:17">
      <c r="A35" s="127"/>
      <c r="B35" s="11" t="s">
        <v>31</v>
      </c>
      <c r="C35" s="50">
        <v>31461</v>
      </c>
      <c r="D35" s="50">
        <f>ბენეფიციარები!D19+ბენეფიციარები!F19+ბენეფიციარები!H19</f>
        <v>17007</v>
      </c>
      <c r="G35" s="55">
        <f t="shared" si="0"/>
        <v>13605.6</v>
      </c>
      <c r="H35" s="55">
        <f t="shared" si="1"/>
        <v>10884.48</v>
      </c>
      <c r="I35" s="55">
        <f t="shared" si="2"/>
        <v>8163.36</v>
      </c>
      <c r="K35" s="31"/>
      <c r="L35" s="248">
        <v>1</v>
      </c>
      <c r="M35" s="249">
        <v>1</v>
      </c>
      <c r="N35" s="31">
        <v>1</v>
      </c>
      <c r="O35" s="245">
        <f>N35-M35</f>
        <v>0</v>
      </c>
      <c r="P35" s="31">
        <v>1</v>
      </c>
      <c r="Q35" s="55">
        <f>D35/P35</f>
        <v>17007</v>
      </c>
    </row>
    <row r="36" spans="1:17" ht="25.5">
      <c r="A36" s="127"/>
      <c r="B36" s="11" t="s">
        <v>32</v>
      </c>
      <c r="C36" s="50">
        <v>54337</v>
      </c>
      <c r="D36" s="50">
        <f>ბენეფიციარები!D20+ბენეფიციარები!F20+ბენეფიციარები!H20</f>
        <v>28149</v>
      </c>
      <c r="G36" s="55">
        <f t="shared" si="0"/>
        <v>22519.200000000001</v>
      </c>
      <c r="H36" s="55">
        <f t="shared" si="1"/>
        <v>18015.36</v>
      </c>
      <c r="I36" s="55">
        <f t="shared" si="2"/>
        <v>13511.52</v>
      </c>
      <c r="K36" s="31"/>
      <c r="L36" s="248">
        <v>2</v>
      </c>
      <c r="M36" s="249">
        <v>1</v>
      </c>
      <c r="N36" s="31">
        <v>1</v>
      </c>
      <c r="O36" s="245">
        <f>N36-M36</f>
        <v>0</v>
      </c>
      <c r="P36" s="31">
        <v>1</v>
      </c>
      <c r="Q36" s="55">
        <f>D36/P36</f>
        <v>28149</v>
      </c>
    </row>
    <row r="37" spans="1:17">
      <c r="A37" s="127"/>
      <c r="B37" s="11" t="s">
        <v>33</v>
      </c>
      <c r="C37" s="50">
        <v>29827</v>
      </c>
      <c r="D37" s="50">
        <f>ბენეფიციარები!D27+ბენეფიციარები!F27+ბენეფიციარები!H27</f>
        <v>12095</v>
      </c>
      <c r="G37" s="55">
        <f t="shared" si="0"/>
        <v>9676</v>
      </c>
      <c r="H37" s="55">
        <f t="shared" si="1"/>
        <v>7740.8</v>
      </c>
      <c r="I37" s="55">
        <f t="shared" si="2"/>
        <v>5805.6</v>
      </c>
      <c r="K37" s="31"/>
      <c r="L37" s="248">
        <v>1</v>
      </c>
      <c r="M37" s="249">
        <v>0</v>
      </c>
      <c r="N37" s="31">
        <v>1</v>
      </c>
      <c r="O37" s="245">
        <f>N37-M37</f>
        <v>1</v>
      </c>
      <c r="P37" s="31">
        <v>1</v>
      </c>
      <c r="Q37" s="55">
        <f>D37/P37</f>
        <v>12095</v>
      </c>
    </row>
    <row r="38" spans="1:17">
      <c r="A38" s="127"/>
      <c r="B38" s="11" t="s">
        <v>34</v>
      </c>
      <c r="C38" s="50">
        <v>29948</v>
      </c>
      <c r="D38" s="50">
        <f>ბენეფიციარები!D26+ბენეფიციარები!F26+ბენეფიციარები!H26</f>
        <v>15560</v>
      </c>
      <c r="G38" s="55">
        <f t="shared" si="0"/>
        <v>12448</v>
      </c>
      <c r="H38" s="55">
        <f t="shared" si="1"/>
        <v>9958.4</v>
      </c>
      <c r="I38" s="55">
        <f t="shared" si="2"/>
        <v>7468.7999999999993</v>
      </c>
      <c r="K38" s="31"/>
      <c r="L38" s="248">
        <v>1</v>
      </c>
      <c r="M38" s="249">
        <v>0</v>
      </c>
      <c r="N38" s="31">
        <v>1</v>
      </c>
      <c r="O38" s="245">
        <f>N38-M38</f>
        <v>1</v>
      </c>
      <c r="P38" s="31">
        <v>1</v>
      </c>
      <c r="Q38" s="55">
        <f>D38/P38</f>
        <v>15560</v>
      </c>
    </row>
    <row r="39" spans="1:17" ht="25.5">
      <c r="A39" s="127"/>
      <c r="B39" s="11" t="s">
        <v>35</v>
      </c>
      <c r="C39" s="50">
        <v>51761</v>
      </c>
      <c r="D39" s="50">
        <f>ბენეფიციარები!D25+ბენეფიციარები!F25+ბენეფიციარები!H25</f>
        <v>17885</v>
      </c>
      <c r="G39" s="55">
        <f t="shared" si="0"/>
        <v>14308</v>
      </c>
      <c r="H39" s="55">
        <f t="shared" si="1"/>
        <v>11446.4</v>
      </c>
      <c r="I39" s="55">
        <f t="shared" si="2"/>
        <v>8584.7999999999993</v>
      </c>
      <c r="K39" s="31"/>
      <c r="L39" s="248">
        <v>1</v>
      </c>
      <c r="M39" s="249">
        <v>1</v>
      </c>
      <c r="N39" s="31">
        <v>1</v>
      </c>
      <c r="O39" s="245">
        <f>N39-M39</f>
        <v>0</v>
      </c>
      <c r="P39" s="31">
        <v>3</v>
      </c>
      <c r="Q39" s="55">
        <f>D39/P39</f>
        <v>5961.666666666667</v>
      </c>
    </row>
    <row r="40" spans="1:17" ht="25.5">
      <c r="A40" s="127"/>
      <c r="B40" s="11" t="s">
        <v>36</v>
      </c>
      <c r="C40" s="50">
        <v>41678</v>
      </c>
      <c r="D40" s="50">
        <f>ბენეფიციარები!D24+ბენეფიციარები!F24+ბენეფიციარები!H24</f>
        <v>19389</v>
      </c>
      <c r="G40" s="55">
        <f t="shared" si="0"/>
        <v>15511.2</v>
      </c>
      <c r="H40" s="55">
        <f t="shared" si="1"/>
        <v>12408.960000000001</v>
      </c>
      <c r="I40" s="55">
        <f t="shared" si="2"/>
        <v>9306.7200000000012</v>
      </c>
      <c r="K40" s="31"/>
      <c r="L40" s="248">
        <v>1</v>
      </c>
      <c r="M40" s="249">
        <v>1</v>
      </c>
      <c r="N40" s="31">
        <v>1</v>
      </c>
      <c r="O40" s="245">
        <f>N40-M40</f>
        <v>0</v>
      </c>
      <c r="P40" s="31">
        <v>1</v>
      </c>
      <c r="Q40" s="55">
        <f>D40/P40</f>
        <v>19389</v>
      </c>
    </row>
    <row r="41" spans="1:17" ht="26.25" thickBot="1">
      <c r="A41" s="128"/>
      <c r="B41" s="18" t="s">
        <v>37</v>
      </c>
      <c r="C41" s="50">
        <v>21221</v>
      </c>
      <c r="D41" s="50">
        <f>ბენეფიციარები!D21+ბენეფიციარები!F21+ბენეფიციარები!H21</f>
        <v>10833</v>
      </c>
      <c r="G41" s="55">
        <f t="shared" si="0"/>
        <v>8666.4</v>
      </c>
      <c r="H41" s="55">
        <f t="shared" si="1"/>
        <v>6933.12</v>
      </c>
      <c r="I41" s="55">
        <f t="shared" si="2"/>
        <v>5199.84</v>
      </c>
      <c r="K41" s="31"/>
      <c r="L41" s="248">
        <v>1</v>
      </c>
      <c r="M41" s="249">
        <v>0</v>
      </c>
      <c r="N41" s="31">
        <v>1</v>
      </c>
      <c r="O41" s="245">
        <f>N41-M41</f>
        <v>1</v>
      </c>
      <c r="P41" s="31">
        <v>1</v>
      </c>
      <c r="Q41" s="55">
        <f>D41/P41</f>
        <v>10833</v>
      </c>
    </row>
    <row r="42" spans="1:17" ht="15.75" thickBot="1">
      <c r="A42" s="22"/>
      <c r="B42" s="12"/>
      <c r="C42" s="51"/>
      <c r="D42" s="51"/>
      <c r="G42" s="55">
        <f t="shared" si="0"/>
        <v>0</v>
      </c>
      <c r="H42" s="55">
        <f t="shared" si="1"/>
        <v>0</v>
      </c>
      <c r="I42" s="55">
        <f>SUM(I34:I41)</f>
        <v>69372</v>
      </c>
      <c r="K42" s="20"/>
      <c r="L42" s="20"/>
      <c r="M42" s="20"/>
      <c r="N42" s="20"/>
      <c r="O42" s="245"/>
      <c r="P42" s="51"/>
      <c r="Q42" s="55"/>
    </row>
    <row r="43" spans="1:17" ht="25.5">
      <c r="A43" s="126" t="s">
        <v>38</v>
      </c>
      <c r="B43" s="17" t="s">
        <v>39</v>
      </c>
      <c r="C43" s="50">
        <v>57628</v>
      </c>
      <c r="D43" s="50">
        <f>ბენეფიციარები!D30+ბენეფიციარები!F30+ბენეფიციარები!H30</f>
        <v>24281</v>
      </c>
      <c r="G43" s="55">
        <f t="shared" si="0"/>
        <v>19424.8</v>
      </c>
      <c r="H43" s="55">
        <f t="shared" si="1"/>
        <v>15539.84</v>
      </c>
      <c r="I43" s="55">
        <f t="shared" si="2"/>
        <v>11654.880000000001</v>
      </c>
      <c r="K43" s="31">
        <v>12000</v>
      </c>
      <c r="L43" s="248">
        <v>2</v>
      </c>
      <c r="M43" s="249">
        <v>1</v>
      </c>
      <c r="N43" s="31">
        <v>1</v>
      </c>
      <c r="O43" s="245">
        <f>N43-M43</f>
        <v>0</v>
      </c>
      <c r="P43" s="31">
        <v>3</v>
      </c>
      <c r="Q43" s="55">
        <f>D43/P43</f>
        <v>8093.666666666667</v>
      </c>
    </row>
    <row r="44" spans="1:17">
      <c r="A44" s="127"/>
      <c r="B44" s="5" t="s">
        <v>40</v>
      </c>
      <c r="C44" s="50">
        <f>9737+9736</f>
        <v>19473</v>
      </c>
      <c r="D44" s="50">
        <f>ბენეფიციარები!D38+ბენეფიციარები!F38+ბენეფიციარები!H38</f>
        <v>13963</v>
      </c>
      <c r="E44" s="1" t="s">
        <v>91</v>
      </c>
      <c r="G44" s="55">
        <f t="shared" si="0"/>
        <v>11170.400000000001</v>
      </c>
      <c r="H44" s="55">
        <f t="shared" si="1"/>
        <v>8936.3200000000015</v>
      </c>
      <c r="I44" s="55">
        <f t="shared" si="2"/>
        <v>6702.2400000000016</v>
      </c>
      <c r="K44" s="31"/>
      <c r="L44" s="248">
        <v>1</v>
      </c>
      <c r="M44" s="249">
        <v>1</v>
      </c>
      <c r="N44" s="31">
        <v>1</v>
      </c>
      <c r="O44" s="245">
        <f>N44-M44</f>
        <v>0</v>
      </c>
      <c r="P44" s="31"/>
      <c r="Q44" s="55"/>
    </row>
    <row r="45" spans="1:17">
      <c r="A45" s="127"/>
      <c r="B45" s="11" t="s">
        <v>41</v>
      </c>
      <c r="C45" s="50">
        <v>37775</v>
      </c>
      <c r="D45" s="50">
        <f>ბენეფიციარები!D33+ბენეფიციარები!F33+ბენეფიციარები!H33</f>
        <v>18568</v>
      </c>
      <c r="G45" s="55">
        <f t="shared" si="0"/>
        <v>14854.400000000001</v>
      </c>
      <c r="H45" s="55">
        <f t="shared" si="1"/>
        <v>11883.52</v>
      </c>
      <c r="I45" s="55">
        <f t="shared" si="2"/>
        <v>8912.64</v>
      </c>
      <c r="K45" s="31"/>
      <c r="L45" s="248">
        <v>2</v>
      </c>
      <c r="M45" s="249">
        <v>1</v>
      </c>
      <c r="N45" s="31">
        <v>1</v>
      </c>
      <c r="O45" s="245">
        <f>N45-M45</f>
        <v>0</v>
      </c>
      <c r="P45" s="31">
        <v>1</v>
      </c>
      <c r="Q45" s="55">
        <f>D45/P45</f>
        <v>18568</v>
      </c>
    </row>
    <row r="46" spans="1:17" ht="25.5">
      <c r="A46" s="127"/>
      <c r="B46" s="11" t="s">
        <v>42</v>
      </c>
      <c r="C46" s="50">
        <v>39884</v>
      </c>
      <c r="D46" s="50">
        <f>ბენეფიციარები!D37+ბენეფიციარები!F37+ბენეფიციარები!H37</f>
        <v>26372</v>
      </c>
      <c r="G46" s="55">
        <f t="shared" si="0"/>
        <v>21097.600000000002</v>
      </c>
      <c r="H46" s="55">
        <f t="shared" si="1"/>
        <v>16878.080000000002</v>
      </c>
      <c r="I46" s="55">
        <f t="shared" si="2"/>
        <v>12658.560000000001</v>
      </c>
      <c r="K46" s="31"/>
      <c r="L46" s="248">
        <v>2</v>
      </c>
      <c r="M46" s="249">
        <v>1</v>
      </c>
      <c r="N46" s="31">
        <v>1</v>
      </c>
      <c r="O46" s="245">
        <f>N46-M46</f>
        <v>0</v>
      </c>
      <c r="P46" s="31">
        <v>2</v>
      </c>
      <c r="Q46" s="55">
        <f>D46/P46</f>
        <v>13186</v>
      </c>
    </row>
    <row r="47" spans="1:17">
      <c r="A47" s="127"/>
      <c r="B47" s="11" t="s">
        <v>43</v>
      </c>
      <c r="C47" s="50">
        <v>24512</v>
      </c>
      <c r="D47" s="50">
        <f>ბენეფიციარები!D29+ბენეფიციარები!F29+ბენეფიციარები!H29</f>
        <v>13708</v>
      </c>
      <c r="G47" s="55">
        <f t="shared" si="0"/>
        <v>10966.400000000001</v>
      </c>
      <c r="H47" s="55">
        <f t="shared" si="1"/>
        <v>8773.1200000000008</v>
      </c>
      <c r="I47" s="55">
        <f t="shared" si="2"/>
        <v>6579.84</v>
      </c>
      <c r="K47" s="31"/>
      <c r="L47" s="248">
        <v>1</v>
      </c>
      <c r="M47" s="249">
        <v>1</v>
      </c>
      <c r="N47" s="31">
        <v>1</v>
      </c>
      <c r="O47" s="245">
        <f>N47-M47</f>
        <v>0</v>
      </c>
      <c r="P47" s="31">
        <v>1</v>
      </c>
      <c r="Q47" s="55">
        <f>D47/P47</f>
        <v>13708</v>
      </c>
    </row>
    <row r="48" spans="1:17" ht="25.5">
      <c r="A48" s="127"/>
      <c r="B48" s="11" t="s">
        <v>44</v>
      </c>
      <c r="C48" s="50">
        <v>48562</v>
      </c>
      <c r="D48" s="50">
        <f>ბენეფიციარები!D32+ბენეფიციარები!F32+ბენეფიციარები!H32</f>
        <v>18062</v>
      </c>
      <c r="G48" s="55">
        <f t="shared" si="0"/>
        <v>14449.6</v>
      </c>
      <c r="H48" s="55">
        <f t="shared" si="1"/>
        <v>11559.68</v>
      </c>
      <c r="I48" s="55">
        <f t="shared" si="2"/>
        <v>8669.76</v>
      </c>
      <c r="K48" s="31"/>
      <c r="L48" s="248">
        <v>2</v>
      </c>
      <c r="M48" s="249">
        <v>1</v>
      </c>
      <c r="N48" s="31">
        <v>1</v>
      </c>
      <c r="O48" s="245">
        <f>N48-M48</f>
        <v>0</v>
      </c>
      <c r="P48" s="31">
        <v>2</v>
      </c>
      <c r="Q48" s="55">
        <f>D48/P48</f>
        <v>9031</v>
      </c>
    </row>
    <row r="49" spans="1:17">
      <c r="A49" s="127"/>
      <c r="B49" s="11" t="s">
        <v>45</v>
      </c>
      <c r="C49" s="50">
        <v>23570</v>
      </c>
      <c r="D49" s="50">
        <f>ბენეფიციარები!D39+ბენეფიციარები!F39+ბენეფიციარები!H39</f>
        <v>13899</v>
      </c>
      <c r="G49" s="55">
        <f t="shared" si="0"/>
        <v>11119.2</v>
      </c>
      <c r="H49" s="55">
        <f t="shared" si="1"/>
        <v>8895.36</v>
      </c>
      <c r="I49" s="55">
        <f t="shared" si="2"/>
        <v>6671.52</v>
      </c>
      <c r="K49" s="31"/>
      <c r="L49" s="248">
        <v>1</v>
      </c>
      <c r="M49" s="249">
        <v>1</v>
      </c>
      <c r="N49" s="31">
        <v>1</v>
      </c>
      <c r="O49" s="245">
        <f>N49-M49</f>
        <v>0</v>
      </c>
      <c r="P49" s="31">
        <v>1</v>
      </c>
      <c r="Q49" s="55">
        <f>D49/P49</f>
        <v>13899</v>
      </c>
    </row>
    <row r="50" spans="1:17" ht="25.5">
      <c r="A50" s="127"/>
      <c r="B50" s="11" t="s">
        <v>46</v>
      </c>
      <c r="C50" s="50">
        <v>74835</v>
      </c>
      <c r="D50" s="50">
        <f>ბენეფიციარები!D36+ბენეფიციარები!F36+ბენეფიციარები!H36</f>
        <v>22791</v>
      </c>
      <c r="G50" s="55">
        <f t="shared" si="0"/>
        <v>18232.8</v>
      </c>
      <c r="H50" s="55">
        <f t="shared" si="1"/>
        <v>14586.24</v>
      </c>
      <c r="I50" s="55">
        <f t="shared" si="2"/>
        <v>10939.68</v>
      </c>
      <c r="K50" s="31"/>
      <c r="L50" s="248">
        <v>2</v>
      </c>
      <c r="M50" s="249">
        <v>1</v>
      </c>
      <c r="N50" s="31">
        <v>1</v>
      </c>
      <c r="O50" s="245">
        <f>N50-M50</f>
        <v>0</v>
      </c>
      <c r="P50" s="31">
        <v>1</v>
      </c>
      <c r="Q50" s="55">
        <f>D50/P50</f>
        <v>22791</v>
      </c>
    </row>
    <row r="51" spans="1:17" ht="12.75" customHeight="1">
      <c r="A51" s="127"/>
      <c r="B51" s="25" t="s">
        <v>47</v>
      </c>
      <c r="C51" s="50">
        <v>147635</v>
      </c>
      <c r="D51" s="50">
        <f>ბენეფიციარები!D35+ბენეფიციარები!F35+ბენეფიციარები!H35</f>
        <v>49878</v>
      </c>
      <c r="G51" s="55">
        <f t="shared" si="0"/>
        <v>39902.400000000001</v>
      </c>
      <c r="H51" s="55">
        <f t="shared" si="1"/>
        <v>31921.920000000002</v>
      </c>
      <c r="I51" s="55">
        <f t="shared" si="2"/>
        <v>23941.440000000002</v>
      </c>
      <c r="K51" s="31"/>
      <c r="L51" s="248">
        <v>4</v>
      </c>
      <c r="M51" s="249">
        <v>2</v>
      </c>
      <c r="N51" s="31">
        <v>2</v>
      </c>
      <c r="O51" s="245">
        <f>N51-M51</f>
        <v>0</v>
      </c>
      <c r="P51" s="31">
        <v>19</v>
      </c>
      <c r="Q51" s="55">
        <f>D51/P51</f>
        <v>2625.1578947368421</v>
      </c>
    </row>
    <row r="52" spans="1:17" ht="25.5">
      <c r="A52" s="127"/>
      <c r="B52" s="11" t="s">
        <v>48</v>
      </c>
      <c r="C52" s="50">
        <v>21582</v>
      </c>
      <c r="D52" s="50">
        <f>ბენეფიციარები!D28+ბენეფიციარები!F28+ბენეფიციარები!H28</f>
        <v>10246</v>
      </c>
      <c r="G52" s="55">
        <f t="shared" si="0"/>
        <v>8196.8000000000011</v>
      </c>
      <c r="H52" s="55">
        <f t="shared" si="1"/>
        <v>6557.4400000000005</v>
      </c>
      <c r="I52" s="55">
        <f t="shared" si="2"/>
        <v>4918.08</v>
      </c>
      <c r="K52" s="31"/>
      <c r="L52" s="248">
        <v>1</v>
      </c>
      <c r="M52" s="249">
        <v>0</v>
      </c>
      <c r="N52" s="31">
        <v>1</v>
      </c>
      <c r="O52" s="245">
        <f>N52-M52</f>
        <v>1</v>
      </c>
      <c r="P52" s="31">
        <v>1</v>
      </c>
      <c r="Q52" s="55">
        <f>D52/P52</f>
        <v>10246</v>
      </c>
    </row>
    <row r="53" spans="1:17" ht="25.5">
      <c r="A53" s="127"/>
      <c r="B53" s="11" t="s">
        <v>49</v>
      </c>
      <c r="C53" s="50">
        <v>35563</v>
      </c>
      <c r="D53" s="50">
        <f>ბენეფიციარები!D31+ბენეფიციარები!F31+ბენეფიციარები!H31</f>
        <v>12806</v>
      </c>
      <c r="G53" s="55">
        <f t="shared" si="0"/>
        <v>10244.800000000001</v>
      </c>
      <c r="H53" s="55">
        <f t="shared" si="1"/>
        <v>8195.84</v>
      </c>
      <c r="I53" s="55">
        <f t="shared" si="2"/>
        <v>6146.88</v>
      </c>
      <c r="K53" s="31"/>
      <c r="L53" s="248">
        <v>1</v>
      </c>
      <c r="M53" s="249">
        <v>1</v>
      </c>
      <c r="N53" s="31">
        <v>1</v>
      </c>
      <c r="O53" s="245">
        <f>N53-M53</f>
        <v>0</v>
      </c>
      <c r="P53" s="31">
        <v>1</v>
      </c>
      <c r="Q53" s="55">
        <f>D53/P53</f>
        <v>12806</v>
      </c>
    </row>
    <row r="54" spans="1:17" ht="26.25" thickBot="1">
      <c r="A54" s="128"/>
      <c r="B54" s="18" t="s">
        <v>50</v>
      </c>
      <c r="C54" s="50">
        <v>20839</v>
      </c>
      <c r="D54" s="50">
        <f>ბენეფიციარები!D34+ბენეფიციარები!F34+ბენეფიციარები!H34</f>
        <v>10148</v>
      </c>
      <c r="G54" s="55">
        <f t="shared" si="0"/>
        <v>8118.4000000000005</v>
      </c>
      <c r="H54" s="55">
        <f t="shared" si="1"/>
        <v>6494.72</v>
      </c>
      <c r="I54" s="55">
        <f t="shared" si="2"/>
        <v>4871.04</v>
      </c>
      <c r="K54" s="31"/>
      <c r="L54" s="248">
        <v>1</v>
      </c>
      <c r="M54" s="249">
        <v>0</v>
      </c>
      <c r="N54" s="31">
        <v>1</v>
      </c>
      <c r="O54" s="245">
        <f>N54-M54</f>
        <v>1</v>
      </c>
      <c r="P54" s="31">
        <v>1</v>
      </c>
      <c r="Q54" s="55">
        <f>D54/P54</f>
        <v>10148</v>
      </c>
    </row>
    <row r="55" spans="1:17" ht="15.75" thickBot="1">
      <c r="A55" s="22"/>
      <c r="B55" s="12"/>
      <c r="C55" s="51"/>
      <c r="D55" s="51"/>
      <c r="G55" s="55">
        <f t="shared" si="0"/>
        <v>0</v>
      </c>
      <c r="H55" s="55">
        <f t="shared" si="1"/>
        <v>0</v>
      </c>
      <c r="I55" s="55">
        <f>SUM(I43:I54)</f>
        <v>112666.56</v>
      </c>
      <c r="K55" s="20"/>
      <c r="L55" s="20"/>
      <c r="M55" s="20"/>
      <c r="N55" s="20"/>
      <c r="O55" s="245"/>
      <c r="P55" s="51"/>
      <c r="Q55" s="55"/>
    </row>
    <row r="56" spans="1:17" ht="25.5">
      <c r="A56" s="126" t="s">
        <v>51</v>
      </c>
      <c r="B56" s="17" t="s">
        <v>52</v>
      </c>
      <c r="C56" s="50">
        <v>11186</v>
      </c>
      <c r="D56" s="50">
        <f>ბენეფიციარები!D14+ბენეფიციარები!F14+ბენეფიციარები!H14+ბენეფიციარები!D15+ბენეფიციარები!F15+ბენეფიციარები!H15</f>
        <v>10180</v>
      </c>
      <c r="G56" s="55">
        <f t="shared" si="0"/>
        <v>8144</v>
      </c>
      <c r="H56" s="55">
        <f t="shared" si="1"/>
        <v>6515.2</v>
      </c>
      <c r="I56" s="55">
        <f t="shared" si="2"/>
        <v>4886.3999999999996</v>
      </c>
      <c r="K56" s="31">
        <v>8000</v>
      </c>
      <c r="L56" s="248">
        <v>1</v>
      </c>
      <c r="M56" s="249">
        <v>1</v>
      </c>
      <c r="N56" s="31">
        <v>1</v>
      </c>
      <c r="O56" s="245">
        <f>N56-M56</f>
        <v>0</v>
      </c>
      <c r="P56" s="31">
        <v>1</v>
      </c>
      <c r="Q56" s="55">
        <f>D56/P56</f>
        <v>10180</v>
      </c>
    </row>
    <row r="57" spans="1:17" ht="25.5">
      <c r="A57" s="127"/>
      <c r="B57" s="11" t="s">
        <v>53</v>
      </c>
      <c r="C57" s="50">
        <v>4386</v>
      </c>
      <c r="D57" s="50">
        <f>ბენეფიციარები!D16+ბენეფიციარები!F16+ბენეფიციარები!H16</f>
        <v>4164</v>
      </c>
      <c r="E57" s="1" t="s">
        <v>91</v>
      </c>
      <c r="G57" s="55">
        <f t="shared" si="0"/>
        <v>3331.2000000000003</v>
      </c>
      <c r="H57" s="55">
        <f t="shared" si="1"/>
        <v>2664.96</v>
      </c>
      <c r="I57" s="55">
        <f t="shared" si="2"/>
        <v>1998.72</v>
      </c>
      <c r="K57" s="31"/>
      <c r="L57" s="248">
        <v>1</v>
      </c>
      <c r="M57" s="249">
        <v>0</v>
      </c>
      <c r="N57" s="31">
        <v>1</v>
      </c>
      <c r="O57" s="245">
        <f>N57-M57</f>
        <v>1</v>
      </c>
      <c r="P57" s="31"/>
      <c r="Q57" s="55"/>
    </row>
    <row r="58" spans="1:17">
      <c r="A58" s="127"/>
      <c r="B58" s="11" t="s">
        <v>54</v>
      </c>
      <c r="C58" s="50">
        <v>6130</v>
      </c>
      <c r="D58" s="50">
        <f>ბენეფიციარები!D17+ბენეფიციარები!F17+ბენეფიციარები!H17</f>
        <v>5836</v>
      </c>
      <c r="G58" s="55">
        <f t="shared" si="0"/>
        <v>4668.8</v>
      </c>
      <c r="H58" s="55">
        <f t="shared" si="1"/>
        <v>3735.04</v>
      </c>
      <c r="I58" s="55">
        <f t="shared" si="2"/>
        <v>2801.2799999999997</v>
      </c>
      <c r="K58" s="31"/>
      <c r="L58" s="248">
        <v>1</v>
      </c>
      <c r="M58" s="249">
        <v>0</v>
      </c>
      <c r="N58" s="31">
        <v>1</v>
      </c>
      <c r="O58" s="245">
        <f>N58-M58</f>
        <v>1</v>
      </c>
      <c r="P58" s="31">
        <v>1</v>
      </c>
      <c r="Q58" s="55">
        <f>D58/P58</f>
        <v>5836</v>
      </c>
    </row>
    <row r="59" spans="1:17" ht="15.75" thickBot="1">
      <c r="A59" s="128"/>
      <c r="B59" s="18" t="s">
        <v>55</v>
      </c>
      <c r="C59" s="50">
        <v>10387</v>
      </c>
      <c r="D59" s="50">
        <f>ბენეფიციარები!D18+ბენეფიციარები!F18+ბენეფიციარები!H18</f>
        <v>8938</v>
      </c>
      <c r="E59" s="1" t="s">
        <v>91</v>
      </c>
      <c r="G59" s="55">
        <f t="shared" si="0"/>
        <v>7150.4000000000005</v>
      </c>
      <c r="H59" s="55">
        <f t="shared" si="1"/>
        <v>5720.3200000000006</v>
      </c>
      <c r="I59" s="55">
        <f t="shared" si="2"/>
        <v>4290.2400000000007</v>
      </c>
      <c r="K59" s="31"/>
      <c r="L59" s="248">
        <v>1</v>
      </c>
      <c r="M59" s="249">
        <v>1</v>
      </c>
      <c r="N59" s="31">
        <v>1</v>
      </c>
      <c r="O59" s="245">
        <f>N59-M59</f>
        <v>0</v>
      </c>
      <c r="P59" s="31"/>
      <c r="Q59" s="55"/>
    </row>
    <row r="60" spans="1:17" ht="15.75" thickBot="1">
      <c r="A60" s="22"/>
      <c r="B60" s="12"/>
      <c r="C60" s="51"/>
      <c r="D60" s="51"/>
      <c r="G60" s="55">
        <f t="shared" si="0"/>
        <v>0</v>
      </c>
      <c r="H60" s="55">
        <f t="shared" si="1"/>
        <v>0</v>
      </c>
      <c r="I60" s="55">
        <f>SUM(I56:I59)</f>
        <v>13976.64</v>
      </c>
      <c r="K60" s="20"/>
      <c r="L60" s="20"/>
      <c r="M60" s="20"/>
      <c r="N60" s="20"/>
      <c r="O60" s="245"/>
      <c r="P60" s="51"/>
      <c r="Q60" s="55"/>
    </row>
    <row r="61" spans="1:17" ht="25.5" customHeight="1">
      <c r="A61" s="126" t="s">
        <v>56</v>
      </c>
      <c r="B61" s="17" t="s">
        <v>57</v>
      </c>
      <c r="C61" s="50">
        <v>33463</v>
      </c>
      <c r="D61" s="50">
        <f>ბენეფიციარები!D48+ბენეფიციარები!F48+ბენეფიციარები!H48</f>
        <v>19261</v>
      </c>
      <c r="G61" s="55">
        <f t="shared" si="0"/>
        <v>15408.800000000001</v>
      </c>
      <c r="H61" s="55">
        <f t="shared" si="1"/>
        <v>12327.04</v>
      </c>
      <c r="I61" s="55">
        <f t="shared" si="2"/>
        <v>9245.2800000000007</v>
      </c>
      <c r="K61" s="31">
        <v>14300</v>
      </c>
      <c r="L61" s="248">
        <v>1</v>
      </c>
      <c r="M61" s="249">
        <v>1</v>
      </c>
      <c r="N61" s="31">
        <v>1</v>
      </c>
      <c r="O61" s="245">
        <f>N61-M61</f>
        <v>0</v>
      </c>
      <c r="P61" s="31">
        <v>1</v>
      </c>
      <c r="Q61" s="55">
        <f>D61/P61</f>
        <v>19261</v>
      </c>
    </row>
    <row r="62" spans="1:17">
      <c r="A62" s="127"/>
      <c r="B62" s="19" t="s">
        <v>58</v>
      </c>
      <c r="C62" s="50">
        <v>41465</v>
      </c>
      <c r="D62" s="50">
        <f>ბენეფიციარები!D51+ბენეფიციარები!F51+ბენეფიციარები!H51</f>
        <v>12204</v>
      </c>
      <c r="G62" s="55">
        <f t="shared" si="0"/>
        <v>9763.2000000000007</v>
      </c>
      <c r="H62" s="55">
        <f t="shared" si="1"/>
        <v>7810.56</v>
      </c>
      <c r="I62" s="55">
        <f t="shared" si="2"/>
        <v>5857.92</v>
      </c>
      <c r="K62" s="31"/>
      <c r="L62" s="248">
        <v>1</v>
      </c>
      <c r="M62" s="249">
        <v>0</v>
      </c>
      <c r="N62" s="31">
        <v>1</v>
      </c>
      <c r="O62" s="245">
        <f>N62-M62</f>
        <v>1</v>
      </c>
      <c r="P62" s="31">
        <v>3</v>
      </c>
      <c r="Q62" s="55">
        <f>D62/P62</f>
        <v>4068</v>
      </c>
    </row>
    <row r="63" spans="1:17">
      <c r="A63" s="127"/>
      <c r="B63" s="11" t="s">
        <v>59</v>
      </c>
      <c r="C63" s="50">
        <v>22341</v>
      </c>
      <c r="D63" s="50">
        <f>ბენეფიციარები!D46+ბენეფიციარები!F46+ბენეფიციარები!H46</f>
        <v>10722</v>
      </c>
      <c r="E63" s="1" t="s">
        <v>91</v>
      </c>
      <c r="G63" s="55">
        <f t="shared" si="0"/>
        <v>8577.6</v>
      </c>
      <c r="H63" s="55">
        <f t="shared" si="1"/>
        <v>6862.08</v>
      </c>
      <c r="I63" s="55">
        <f t="shared" si="2"/>
        <v>5146.5599999999995</v>
      </c>
      <c r="K63" s="31"/>
      <c r="L63" s="248">
        <v>1</v>
      </c>
      <c r="M63" s="249">
        <v>0</v>
      </c>
      <c r="N63" s="31">
        <v>1</v>
      </c>
      <c r="O63" s="245">
        <f>N63-M63</f>
        <v>1</v>
      </c>
      <c r="P63" s="31"/>
      <c r="Q63" s="55"/>
    </row>
    <row r="64" spans="1:17">
      <c r="A64" s="127"/>
      <c r="B64" s="11" t="s">
        <v>60</v>
      </c>
      <c r="C64" s="50">
        <v>39652</v>
      </c>
      <c r="D64" s="50">
        <f>ბენეფიციარები!D50+ბენეფიციარები!F50+ბენეფიციარები!H50</f>
        <v>18467</v>
      </c>
      <c r="G64" s="55">
        <f t="shared" si="0"/>
        <v>14773.6</v>
      </c>
      <c r="H64" s="55">
        <f t="shared" si="1"/>
        <v>11818.880000000001</v>
      </c>
      <c r="I64" s="55">
        <f t="shared" si="2"/>
        <v>8864.16</v>
      </c>
      <c r="K64" s="31"/>
      <c r="L64" s="248">
        <v>1</v>
      </c>
      <c r="M64" s="249">
        <v>1</v>
      </c>
      <c r="N64" s="31">
        <v>1</v>
      </c>
      <c r="O64" s="245">
        <f>N64-M64</f>
        <v>0</v>
      </c>
      <c r="P64" s="31">
        <v>1</v>
      </c>
      <c r="Q64" s="55">
        <f>D64/P64</f>
        <v>18467</v>
      </c>
    </row>
    <row r="65" spans="1:17" ht="25.5">
      <c r="A65" s="127"/>
      <c r="B65" s="11" t="s">
        <v>61</v>
      </c>
      <c r="C65" s="50">
        <v>22309</v>
      </c>
      <c r="D65" s="50">
        <f>ბენეფიციარები!D52+ბენეფიციარები!F52+ბენეფიციარები!H52</f>
        <v>9896</v>
      </c>
      <c r="E65" s="1" t="s">
        <v>91</v>
      </c>
      <c r="G65" s="55">
        <f t="shared" si="0"/>
        <v>7916.8</v>
      </c>
      <c r="H65" s="55">
        <f t="shared" si="1"/>
        <v>6333.4400000000005</v>
      </c>
      <c r="I65" s="55">
        <f t="shared" si="2"/>
        <v>4750.08</v>
      </c>
      <c r="K65" s="31"/>
      <c r="L65" s="248">
        <v>1</v>
      </c>
      <c r="M65" s="249">
        <v>0</v>
      </c>
      <c r="N65" s="31">
        <v>1</v>
      </c>
      <c r="O65" s="245">
        <f>N65-M65</f>
        <v>1</v>
      </c>
      <c r="P65" s="31">
        <v>1</v>
      </c>
      <c r="Q65" s="55">
        <f>D65/P65</f>
        <v>9896</v>
      </c>
    </row>
    <row r="66" spans="1:17">
      <c r="A66" s="127"/>
      <c r="B66" s="11" t="s">
        <v>62</v>
      </c>
      <c r="C66" s="50">
        <v>30548</v>
      </c>
      <c r="D66" s="50">
        <f>ბენეფიციარები!D54+ბენეფიციარები!F54+ბენეფიციარები!H54</f>
        <v>11782</v>
      </c>
      <c r="E66" s="1" t="s">
        <v>97</v>
      </c>
      <c r="G66" s="55">
        <f t="shared" si="0"/>
        <v>9425.6</v>
      </c>
      <c r="H66" s="55">
        <f t="shared" si="1"/>
        <v>7540.4800000000005</v>
      </c>
      <c r="I66" s="55">
        <f t="shared" si="2"/>
        <v>5655.3600000000006</v>
      </c>
      <c r="K66" s="31"/>
      <c r="L66" s="248">
        <v>1</v>
      </c>
      <c r="M66" s="249">
        <v>0</v>
      </c>
      <c r="N66" s="31">
        <v>1</v>
      </c>
      <c r="O66" s="245">
        <f>N66-M66</f>
        <v>1</v>
      </c>
      <c r="P66" s="31"/>
      <c r="Q66" s="55"/>
    </row>
    <row r="67" spans="1:17" ht="12.75" customHeight="1">
      <c r="A67" s="127"/>
      <c r="B67" s="28" t="s">
        <v>63</v>
      </c>
      <c r="C67" s="50">
        <v>105509</v>
      </c>
      <c r="D67" s="50">
        <f>ბენეფიციარები!D47+ბენეფიციარები!F47+ბენეფიციარები!H47+ბენეფიციარები!H80</f>
        <v>98247</v>
      </c>
      <c r="G67" s="55">
        <f t="shared" si="0"/>
        <v>78597.600000000006</v>
      </c>
      <c r="H67" s="55">
        <f t="shared" si="1"/>
        <v>62878.080000000002</v>
      </c>
      <c r="I67" s="55">
        <f t="shared" si="2"/>
        <v>47158.559999999998</v>
      </c>
      <c r="K67" s="31"/>
      <c r="L67" s="248">
        <v>7</v>
      </c>
      <c r="M67" s="249">
        <v>3</v>
      </c>
      <c r="N67" s="31">
        <v>1</v>
      </c>
      <c r="O67" s="245">
        <f>N67-M67</f>
        <v>-2</v>
      </c>
      <c r="P67" s="31">
        <v>5</v>
      </c>
      <c r="Q67" s="55">
        <f>D67/P67</f>
        <v>19649.400000000001</v>
      </c>
    </row>
    <row r="68" spans="1:17">
      <c r="A68" s="127"/>
      <c r="B68" s="11" t="s">
        <v>64</v>
      </c>
      <c r="C68" s="50">
        <v>9316</v>
      </c>
      <c r="D68" s="50">
        <f>ბენეფიციარები!D49+ბენეფიციარები!F49+ბენეფიციარები!H49</f>
        <v>7301</v>
      </c>
      <c r="G68" s="55">
        <f t="shared" ref="G68:G80" si="3">D68*$G$2</f>
        <v>5840.8</v>
      </c>
      <c r="H68" s="55">
        <f t="shared" ref="H68:H80" si="4">G68-G68*$H$2</f>
        <v>4672.6400000000003</v>
      </c>
      <c r="I68" s="55">
        <f t="shared" ref="I68:I80" si="5">H68*$I$2</f>
        <v>3504.4800000000005</v>
      </c>
      <c r="K68" s="31"/>
      <c r="L68" s="248">
        <v>1</v>
      </c>
      <c r="M68" s="249">
        <v>0</v>
      </c>
      <c r="N68" s="31"/>
      <c r="O68" s="245">
        <f>N68-M68</f>
        <v>0</v>
      </c>
      <c r="P68" s="31"/>
      <c r="Q68" s="55"/>
    </row>
    <row r="69" spans="1:17" ht="26.25" thickBot="1">
      <c r="A69" s="128"/>
      <c r="B69" s="18" t="s">
        <v>65</v>
      </c>
      <c r="C69" s="50">
        <v>26158</v>
      </c>
      <c r="D69" s="50">
        <f>ბენეფიციარები!D53+ბენეფიციარები!F53+ბენეფიციარები!H53</f>
        <v>14728</v>
      </c>
      <c r="E69" s="1" t="s">
        <v>96</v>
      </c>
      <c r="G69" s="55">
        <f t="shared" si="3"/>
        <v>11782.400000000001</v>
      </c>
      <c r="H69" s="55">
        <f t="shared" si="4"/>
        <v>9425.9200000000019</v>
      </c>
      <c r="I69" s="55">
        <f t="shared" si="5"/>
        <v>7069.4400000000014</v>
      </c>
      <c r="K69" s="31"/>
      <c r="L69" s="248">
        <v>1</v>
      </c>
      <c r="M69" s="249">
        <v>0</v>
      </c>
      <c r="N69" s="31">
        <v>1</v>
      </c>
      <c r="O69" s="245">
        <f>N69-M69</f>
        <v>1</v>
      </c>
      <c r="P69" s="31">
        <v>1</v>
      </c>
      <c r="Q69" s="55">
        <f>D69/P69</f>
        <v>14728</v>
      </c>
    </row>
    <row r="70" spans="1:17" ht="15.75" thickBot="1">
      <c r="A70" s="22"/>
      <c r="B70" s="12"/>
      <c r="C70" s="51"/>
      <c r="D70" s="51"/>
      <c r="G70" s="55">
        <f t="shared" si="3"/>
        <v>0</v>
      </c>
      <c r="H70" s="55">
        <f t="shared" si="4"/>
        <v>0</v>
      </c>
      <c r="I70" s="55">
        <f>SUM(I61:I69)</f>
        <v>97251.839999999997</v>
      </c>
      <c r="K70" s="20"/>
      <c r="L70" s="20"/>
      <c r="M70" s="20"/>
      <c r="N70" s="20"/>
      <c r="O70" s="245"/>
      <c r="P70" s="51"/>
      <c r="Q70" s="55"/>
    </row>
    <row r="71" spans="1:17" ht="25.5">
      <c r="A71" s="126" t="s">
        <v>66</v>
      </c>
      <c r="B71" s="17" t="s">
        <v>67</v>
      </c>
      <c r="C71" s="50">
        <v>62863</v>
      </c>
      <c r="D71" s="50">
        <f>ბენეფიციარები!D11+ბენეფიციარები!F11+ბენეფიციარები!H11+ბენეფიციარები!D12+ბენეფიციარები!F12+ბენეფიციარები!H12</f>
        <v>28303</v>
      </c>
      <c r="G71" s="55">
        <f t="shared" si="3"/>
        <v>22642.400000000001</v>
      </c>
      <c r="H71" s="55">
        <f t="shared" si="4"/>
        <v>18113.920000000002</v>
      </c>
      <c r="I71" s="55">
        <f t="shared" si="5"/>
        <v>13585.440000000002</v>
      </c>
      <c r="K71" s="31">
        <v>12000</v>
      </c>
      <c r="L71" s="248">
        <v>2</v>
      </c>
      <c r="M71" s="249">
        <v>1</v>
      </c>
      <c r="N71" s="31">
        <v>1</v>
      </c>
      <c r="O71" s="245">
        <f>N71-M71</f>
        <v>0</v>
      </c>
      <c r="P71" s="31">
        <v>2</v>
      </c>
      <c r="Q71" s="55">
        <f>D71/P71</f>
        <v>14151.5</v>
      </c>
    </row>
    <row r="72" spans="1:17" ht="25.5">
      <c r="A72" s="127"/>
      <c r="B72" s="11" t="s">
        <v>68</v>
      </c>
      <c r="C72" s="50">
        <v>19001</v>
      </c>
      <c r="D72" s="50">
        <f>ბენეფიციარები!D13+ბენეფიციარები!F13+ბენეფიციარები!H13</f>
        <v>11126</v>
      </c>
      <c r="E72" s="1" t="s">
        <v>95</v>
      </c>
      <c r="G72" s="55">
        <f t="shared" si="3"/>
        <v>8900.8000000000011</v>
      </c>
      <c r="H72" s="55">
        <f t="shared" si="4"/>
        <v>7120.6400000000012</v>
      </c>
      <c r="I72" s="55">
        <f t="shared" si="5"/>
        <v>5340.4800000000014</v>
      </c>
      <c r="K72" s="31"/>
      <c r="L72" s="248">
        <v>1</v>
      </c>
      <c r="M72" s="249">
        <v>0</v>
      </c>
      <c r="N72" s="31">
        <v>1</v>
      </c>
      <c r="O72" s="245">
        <f>N72-M72</f>
        <v>1</v>
      </c>
      <c r="P72" s="31">
        <v>2</v>
      </c>
      <c r="Q72" s="55">
        <f>D72/P72</f>
        <v>5563</v>
      </c>
    </row>
    <row r="73" spans="1:17" ht="26.25" thickBot="1">
      <c r="A73" s="128"/>
      <c r="B73" s="18" t="s">
        <v>69</v>
      </c>
      <c r="C73" s="50">
        <v>31486</v>
      </c>
      <c r="D73" s="50">
        <f>ბენეფიციარები!D10+ბენეფიციარები!F10+ბენეფიციარები!H10</f>
        <v>16120</v>
      </c>
      <c r="G73" s="55">
        <f t="shared" si="3"/>
        <v>12896</v>
      </c>
      <c r="H73" s="55">
        <f t="shared" si="4"/>
        <v>10316.799999999999</v>
      </c>
      <c r="I73" s="55">
        <f t="shared" si="5"/>
        <v>7737.5999999999995</v>
      </c>
      <c r="K73" s="31"/>
      <c r="L73" s="248">
        <v>1</v>
      </c>
      <c r="M73" s="249">
        <v>1</v>
      </c>
      <c r="N73" s="31">
        <v>1</v>
      </c>
      <c r="O73" s="245">
        <f>N73-M73</f>
        <v>0</v>
      </c>
      <c r="P73" s="31">
        <v>1</v>
      </c>
      <c r="Q73" s="55">
        <f>D73/P73</f>
        <v>16120</v>
      </c>
    </row>
    <row r="74" spans="1:17" ht="15.75" thickBot="1">
      <c r="A74" s="22"/>
      <c r="B74" s="16"/>
      <c r="C74" s="52"/>
      <c r="D74" s="52"/>
      <c r="G74" s="55">
        <f t="shared" si="3"/>
        <v>0</v>
      </c>
      <c r="H74" s="55">
        <f t="shared" si="4"/>
        <v>0</v>
      </c>
      <c r="I74" s="55">
        <f>SUM(I71:I73)</f>
        <v>26663.520000000004</v>
      </c>
      <c r="K74" s="20"/>
      <c r="L74" s="20"/>
      <c r="M74" s="20"/>
      <c r="N74" s="52"/>
      <c r="O74" s="245"/>
      <c r="P74" s="52"/>
      <c r="Q74" s="55"/>
    </row>
    <row r="75" spans="1:17" ht="30.75" customHeight="1">
      <c r="A75" s="126" t="s">
        <v>70</v>
      </c>
      <c r="B75" s="25" t="s">
        <v>71</v>
      </c>
      <c r="C75" s="50">
        <v>152839</v>
      </c>
      <c r="D75" s="50">
        <f>ბენეფიციარები!D74+ბენეფიციარები!F74+ბენეფიციარები!H74</f>
        <v>44019</v>
      </c>
      <c r="G75" s="55">
        <f t="shared" si="3"/>
        <v>35215.200000000004</v>
      </c>
      <c r="H75" s="55">
        <f t="shared" si="4"/>
        <v>28172.160000000003</v>
      </c>
      <c r="I75" s="55">
        <f t="shared" si="5"/>
        <v>21129.120000000003</v>
      </c>
      <c r="K75" s="31">
        <v>8300</v>
      </c>
      <c r="L75" s="248">
        <v>5</v>
      </c>
      <c r="M75" s="249">
        <v>3</v>
      </c>
      <c r="N75" s="31">
        <v>2</v>
      </c>
      <c r="O75" s="245">
        <f>N75-M75</f>
        <v>-1</v>
      </c>
      <c r="P75" s="31">
        <v>12</v>
      </c>
      <c r="Q75" s="55">
        <f>D75/P75</f>
        <v>3668.25</v>
      </c>
    </row>
    <row r="76" spans="1:17">
      <c r="A76" s="127"/>
      <c r="B76" s="11" t="s">
        <v>72</v>
      </c>
      <c r="C76" s="50">
        <v>16760</v>
      </c>
      <c r="D76" s="50">
        <f>ბენეფიციარები!D75+ბენეფიციარები!F75+ბენეფიციარები!H75</f>
        <v>10205</v>
      </c>
      <c r="E76" s="1" t="s">
        <v>93</v>
      </c>
      <c r="G76" s="55">
        <f t="shared" si="3"/>
        <v>8164</v>
      </c>
      <c r="H76" s="55">
        <f t="shared" si="4"/>
        <v>6531.2</v>
      </c>
      <c r="I76" s="55">
        <f t="shared" si="5"/>
        <v>4898.3999999999996</v>
      </c>
      <c r="K76" s="31"/>
      <c r="L76" s="248">
        <v>1</v>
      </c>
      <c r="M76" s="249">
        <v>1</v>
      </c>
      <c r="N76" s="31">
        <v>1</v>
      </c>
      <c r="O76" s="245">
        <f>N76-M76</f>
        <v>0</v>
      </c>
      <c r="P76" s="31"/>
      <c r="Q76" s="55"/>
    </row>
    <row r="77" spans="1:17" ht="12.75" customHeight="1">
      <c r="A77" s="127"/>
      <c r="B77" s="3" t="s">
        <v>73</v>
      </c>
      <c r="C77" s="50">
        <v>74794</v>
      </c>
      <c r="D77" s="50">
        <f>ბენეფიციარები!D76+ბენეფიციარები!F76+ბენეფიციარები!H76</f>
        <v>26013</v>
      </c>
      <c r="G77" s="55">
        <f t="shared" si="3"/>
        <v>20810.400000000001</v>
      </c>
      <c r="H77" s="55">
        <f t="shared" si="4"/>
        <v>16648.32</v>
      </c>
      <c r="I77" s="55">
        <f t="shared" si="5"/>
        <v>12486.24</v>
      </c>
      <c r="K77" s="31"/>
      <c r="L77" s="248">
        <v>3</v>
      </c>
      <c r="M77" s="249">
        <v>2</v>
      </c>
      <c r="N77" s="31">
        <v>1</v>
      </c>
      <c r="O77" s="245">
        <f>N77-M77</f>
        <v>-1</v>
      </c>
      <c r="P77" s="31">
        <v>2</v>
      </c>
      <c r="Q77" s="55">
        <f>D77/P77</f>
        <v>13006.5</v>
      </c>
    </row>
    <row r="78" spans="1:17">
      <c r="A78" s="127"/>
      <c r="B78" s="11" t="s">
        <v>74</v>
      </c>
      <c r="C78" s="50">
        <v>15044</v>
      </c>
      <c r="D78" s="50">
        <f>ბენეფიციარები!D77+ბენეფიციარები!F77+ბენეფიციარები!H77</f>
        <v>9149</v>
      </c>
      <c r="G78" s="55">
        <f t="shared" si="3"/>
        <v>7319.2000000000007</v>
      </c>
      <c r="H78" s="55">
        <f t="shared" si="4"/>
        <v>5855.3600000000006</v>
      </c>
      <c r="I78" s="55">
        <f t="shared" si="5"/>
        <v>4391.5200000000004</v>
      </c>
      <c r="K78" s="31"/>
      <c r="L78" s="248">
        <v>1</v>
      </c>
      <c r="M78" s="249">
        <v>1</v>
      </c>
      <c r="N78" s="31">
        <v>1</v>
      </c>
      <c r="O78" s="245">
        <f>N78-M78</f>
        <v>0</v>
      </c>
      <c r="P78" s="31"/>
      <c r="Q78" s="55"/>
    </row>
    <row r="79" spans="1:17" ht="25.5">
      <c r="A79" s="127"/>
      <c r="B79" s="11" t="s">
        <v>75</v>
      </c>
      <c r="C79" s="50">
        <v>51189</v>
      </c>
      <c r="D79" s="50">
        <f>ბენეფიციარები!D78+ბენეფიციარები!F78+ბენეფიციარები!H78</f>
        <v>15817</v>
      </c>
      <c r="E79" s="1" t="s">
        <v>91</v>
      </c>
      <c r="G79" s="55">
        <f t="shared" si="3"/>
        <v>12653.6</v>
      </c>
      <c r="H79" s="55">
        <f t="shared" si="4"/>
        <v>10122.880000000001</v>
      </c>
      <c r="I79" s="55">
        <f t="shared" si="5"/>
        <v>7592.1600000000008</v>
      </c>
      <c r="K79" s="31"/>
      <c r="L79" s="248">
        <v>2</v>
      </c>
      <c r="M79" s="249">
        <v>1</v>
      </c>
      <c r="N79" s="31">
        <v>1</v>
      </c>
      <c r="O79" s="245">
        <f>N79-M79</f>
        <v>0</v>
      </c>
      <c r="P79" s="31"/>
      <c r="Q79" s="55"/>
    </row>
    <row r="80" spans="1:17" ht="15.75" thickBot="1">
      <c r="A80" s="128"/>
      <c r="B80" s="18" t="s">
        <v>76</v>
      </c>
      <c r="C80" s="50">
        <v>23327</v>
      </c>
      <c r="D80" s="50">
        <f>ბენეფიციარები!D79+ბენეფიციარები!F79+ბენეფიციარები!H79</f>
        <v>15345</v>
      </c>
      <c r="E80" s="1" t="s">
        <v>92</v>
      </c>
      <c r="G80" s="55">
        <f t="shared" si="3"/>
        <v>12276</v>
      </c>
      <c r="H80" s="55">
        <f t="shared" si="4"/>
        <v>9820.7999999999993</v>
      </c>
      <c r="I80" s="55">
        <f t="shared" si="5"/>
        <v>7365.5999999999995</v>
      </c>
      <c r="K80" s="31"/>
      <c r="L80" s="248">
        <v>2</v>
      </c>
      <c r="M80" s="249">
        <v>1</v>
      </c>
      <c r="N80" s="31">
        <v>1</v>
      </c>
      <c r="O80" s="245">
        <f>N80-M80</f>
        <v>0</v>
      </c>
      <c r="P80" s="31"/>
      <c r="Q80" s="55"/>
    </row>
    <row r="81" spans="1:16">
      <c r="A81" s="117"/>
      <c r="B81" s="118"/>
      <c r="C81" s="119"/>
      <c r="D81" s="119"/>
      <c r="I81" s="55">
        <f>SUM(I75:I80)</f>
        <v>57863.040000000001</v>
      </c>
      <c r="L81" s="247">
        <f>SUM(L3:L80)</f>
        <v>202</v>
      </c>
      <c r="M81" s="247">
        <f>SUM(M3:M80)</f>
        <v>98</v>
      </c>
      <c r="N81" s="247">
        <f>SUM(N3:N80)</f>
        <v>84</v>
      </c>
      <c r="O81" s="247">
        <f>SUM(O3:O80)</f>
        <v>-14</v>
      </c>
      <c r="P81" s="121"/>
    </row>
    <row r="82" spans="1:16">
      <c r="C82" s="53">
        <f>SUM(C3:C80)</f>
        <v>3731756</v>
      </c>
      <c r="D82" s="54">
        <f>SUM(D3:D80)</f>
        <v>1529915</v>
      </c>
      <c r="I82" s="54">
        <f>SUM(I3:I81)</f>
        <v>1468718.4000000001</v>
      </c>
      <c r="N82" s="58"/>
      <c r="P82" s="29">
        <f>SUM(P3:P80)</f>
        <v>221</v>
      </c>
    </row>
    <row r="86" spans="1:16" ht="12.75">
      <c r="A86" s="24"/>
      <c r="B86" s="8"/>
      <c r="C86" s="35"/>
      <c r="D86" s="36"/>
    </row>
  </sheetData>
  <mergeCells count="12">
    <mergeCell ref="A75:A80"/>
    <mergeCell ref="A29:A32"/>
    <mergeCell ref="A34:A41"/>
    <mergeCell ref="A43:A54"/>
    <mergeCell ref="A56:A59"/>
    <mergeCell ref="A61:A69"/>
    <mergeCell ref="A71:A73"/>
    <mergeCell ref="A1:C1"/>
    <mergeCell ref="A3:A7"/>
    <mergeCell ref="A9:A15"/>
    <mergeCell ref="A17:A20"/>
    <mergeCell ref="A22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topLeftCell="C1" workbookViewId="0">
      <selection activeCell="F19" sqref="F19"/>
    </sheetView>
  </sheetViews>
  <sheetFormatPr defaultRowHeight="15"/>
  <cols>
    <col min="3" max="3" width="21.85546875" customWidth="1"/>
    <col min="4" max="4" width="13.28515625" bestFit="1" customWidth="1"/>
  </cols>
  <sheetData>
    <row r="3" spans="3:7">
      <c r="C3" s="115"/>
      <c r="D3" s="115" t="s">
        <v>295</v>
      </c>
      <c r="E3" s="114" t="s">
        <v>99</v>
      </c>
      <c r="F3" s="116" t="s">
        <v>98</v>
      </c>
      <c r="G3" s="116" t="s">
        <v>294</v>
      </c>
    </row>
    <row r="4" spans="3:7">
      <c r="C4" s="115" t="s">
        <v>202</v>
      </c>
      <c r="D4" s="120">
        <v>1108717</v>
      </c>
      <c r="E4" s="115">
        <v>115</v>
      </c>
      <c r="F4" s="115">
        <v>149</v>
      </c>
      <c r="G4" s="115">
        <v>110</v>
      </c>
    </row>
    <row r="5" spans="3:7">
      <c r="C5" s="115" t="s">
        <v>77</v>
      </c>
      <c r="D5" s="120">
        <v>423986</v>
      </c>
      <c r="E5" s="115">
        <v>12</v>
      </c>
      <c r="F5" s="115">
        <v>12</v>
      </c>
      <c r="G5" s="115">
        <v>13</v>
      </c>
    </row>
    <row r="6" spans="3:7">
      <c r="C6" s="115" t="s">
        <v>78</v>
      </c>
      <c r="D6" s="120">
        <v>263382</v>
      </c>
      <c r="E6" s="115">
        <v>9</v>
      </c>
      <c r="F6" s="115">
        <v>11</v>
      </c>
      <c r="G6" s="115">
        <v>10</v>
      </c>
    </row>
    <row r="7" spans="3:7">
      <c r="C7" s="115" t="s">
        <v>296</v>
      </c>
      <c r="D7" s="120">
        <v>160504</v>
      </c>
      <c r="E7" s="115">
        <v>6</v>
      </c>
      <c r="F7" s="115">
        <v>3</v>
      </c>
      <c r="G7" s="115">
        <v>10</v>
      </c>
    </row>
    <row r="8" spans="3:7">
      <c r="C8" s="115" t="s">
        <v>79</v>
      </c>
      <c r="D8" s="120">
        <v>94573</v>
      </c>
      <c r="E8" s="115">
        <v>2</v>
      </c>
      <c r="F8" s="115">
        <v>0</v>
      </c>
      <c r="G8" s="115">
        <v>1</v>
      </c>
    </row>
    <row r="9" spans="3:7">
      <c r="C9" s="115" t="s">
        <v>80</v>
      </c>
      <c r="D9" s="120">
        <v>318583</v>
      </c>
      <c r="E9" s="115">
        <v>11</v>
      </c>
      <c r="F9" s="115">
        <v>9</v>
      </c>
      <c r="G9" s="115">
        <v>14</v>
      </c>
    </row>
    <row r="10" spans="3:7">
      <c r="C10" s="115" t="s">
        <v>81</v>
      </c>
      <c r="D10" s="120">
        <v>551858</v>
      </c>
      <c r="E10" s="115">
        <v>33</v>
      </c>
      <c r="F10" s="115">
        <v>24</v>
      </c>
      <c r="G10" s="115">
        <v>40</v>
      </c>
    </row>
    <row r="11" spans="3:7">
      <c r="C11" s="115" t="s">
        <v>297</v>
      </c>
      <c r="D11" s="120">
        <v>32089</v>
      </c>
      <c r="E11" s="115">
        <v>2</v>
      </c>
      <c r="F11" s="115">
        <v>0</v>
      </c>
      <c r="G11" s="115">
        <v>1</v>
      </c>
    </row>
    <row r="12" spans="3:7">
      <c r="C12" s="115" t="s">
        <v>293</v>
      </c>
      <c r="D12" s="120">
        <v>330761</v>
      </c>
      <c r="E12" s="115">
        <v>12</v>
      </c>
      <c r="F12" s="115">
        <v>14</v>
      </c>
      <c r="G12" s="115"/>
    </row>
    <row r="13" spans="3:7">
      <c r="C13" s="115" t="s">
        <v>82</v>
      </c>
      <c r="D13" s="120">
        <v>113350</v>
      </c>
      <c r="E13" s="115">
        <v>5</v>
      </c>
      <c r="F13" s="115">
        <v>2</v>
      </c>
      <c r="G13" s="115">
        <v>7</v>
      </c>
    </row>
    <row r="14" spans="3:7">
      <c r="C14" s="115" t="s">
        <v>83</v>
      </c>
      <c r="D14" s="120">
        <v>333953</v>
      </c>
      <c r="E14" s="115">
        <v>14</v>
      </c>
      <c r="F14" s="115">
        <v>15</v>
      </c>
      <c r="G14" s="115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35"/>
  <sheetViews>
    <sheetView topLeftCell="A7" workbookViewId="0">
      <selection activeCell="C23" sqref="C23:E34"/>
    </sheetView>
  </sheetViews>
  <sheetFormatPr defaultRowHeight="15"/>
  <cols>
    <col min="3" max="3" width="21.85546875" customWidth="1"/>
    <col min="4" max="4" width="13.28515625" bestFit="1" customWidth="1"/>
    <col min="5" max="5" width="14" customWidth="1"/>
  </cols>
  <sheetData>
    <row r="3" spans="3:5" ht="30">
      <c r="C3" s="115"/>
      <c r="D3" s="115" t="s">
        <v>295</v>
      </c>
      <c r="E3" s="122" t="s">
        <v>298</v>
      </c>
    </row>
    <row r="4" spans="3:5">
      <c r="C4" s="115" t="s">
        <v>202</v>
      </c>
      <c r="D4" s="120">
        <v>375720</v>
      </c>
      <c r="E4" s="115">
        <v>19</v>
      </c>
    </row>
    <row r="5" spans="3:5">
      <c r="C5" s="115" t="s">
        <v>77</v>
      </c>
      <c r="D5" s="120">
        <v>148674</v>
      </c>
      <c r="E5" s="115">
        <v>8</v>
      </c>
    </row>
    <row r="6" spans="3:5">
      <c r="C6" s="115" t="s">
        <v>78</v>
      </c>
      <c r="D6" s="120">
        <v>122793</v>
      </c>
      <c r="E6" s="115">
        <v>5</v>
      </c>
    </row>
    <row r="7" spans="3:5">
      <c r="C7" s="115" t="s">
        <v>296</v>
      </c>
      <c r="D7" s="120">
        <v>54565</v>
      </c>
      <c r="E7" s="115">
        <v>5</v>
      </c>
    </row>
    <row r="8" spans="3:5">
      <c r="C8" s="115" t="s">
        <v>79</v>
      </c>
      <c r="D8" s="120">
        <v>41093</v>
      </c>
      <c r="E8" s="115">
        <v>4</v>
      </c>
    </row>
    <row r="9" spans="3:5">
      <c r="C9" s="115" t="s">
        <v>80</v>
      </c>
      <c r="D9" s="120">
        <v>144525</v>
      </c>
      <c r="E9" s="115">
        <v>8</v>
      </c>
    </row>
    <row r="10" spans="3:5">
      <c r="C10" s="115" t="s">
        <v>81</v>
      </c>
      <c r="D10" s="120">
        <v>234722</v>
      </c>
      <c r="E10" s="115">
        <v>13</v>
      </c>
    </row>
    <row r="11" spans="3:5">
      <c r="C11" s="115" t="s">
        <v>297</v>
      </c>
      <c r="D11" s="120">
        <v>29118</v>
      </c>
      <c r="E11" s="115">
        <v>4</v>
      </c>
    </row>
    <row r="12" spans="3:5">
      <c r="C12" s="115" t="s">
        <v>293</v>
      </c>
      <c r="D12" s="120">
        <v>202608</v>
      </c>
      <c r="E12" s="115">
        <v>8</v>
      </c>
    </row>
    <row r="13" spans="3:5">
      <c r="C13" s="115" t="s">
        <v>82</v>
      </c>
      <c r="D13" s="120">
        <v>55549</v>
      </c>
      <c r="E13" s="115">
        <v>3</v>
      </c>
    </row>
    <row r="14" spans="3:5">
      <c r="C14" s="115" t="s">
        <v>83</v>
      </c>
      <c r="D14" s="120">
        <v>120548</v>
      </c>
      <c r="E14" s="115">
        <v>7</v>
      </c>
    </row>
    <row r="15" spans="3:5">
      <c r="E15">
        <f>SUM(E4:E14)</f>
        <v>84</v>
      </c>
    </row>
    <row r="23" spans="3:5" ht="30">
      <c r="C23" s="115"/>
      <c r="D23" s="115" t="s">
        <v>295</v>
      </c>
      <c r="E23" s="122" t="s">
        <v>298</v>
      </c>
    </row>
    <row r="24" spans="3:5">
      <c r="C24" s="115" t="s">
        <v>202</v>
      </c>
      <c r="D24" s="55">
        <v>180345.60000000001</v>
      </c>
      <c r="E24" s="115">
        <v>52</v>
      </c>
    </row>
    <row r="25" spans="3:5">
      <c r="C25" s="115" t="s">
        <v>77</v>
      </c>
      <c r="D25" s="120">
        <v>71363.520000000004</v>
      </c>
      <c r="E25" s="115">
        <v>4</v>
      </c>
    </row>
    <row r="26" spans="3:5">
      <c r="C26" s="115" t="s">
        <v>78</v>
      </c>
      <c r="D26" s="120">
        <v>58940.639999999999</v>
      </c>
      <c r="E26" s="115">
        <v>5</v>
      </c>
    </row>
    <row r="27" spans="3:5">
      <c r="C27" s="115" t="s">
        <v>296</v>
      </c>
      <c r="D27" s="120">
        <v>26191.200000000001</v>
      </c>
      <c r="E27" s="115">
        <v>3</v>
      </c>
    </row>
    <row r="28" spans="3:5">
      <c r="C28" s="115" t="s">
        <v>79</v>
      </c>
      <c r="D28" s="120">
        <v>19724.64</v>
      </c>
      <c r="E28" s="115">
        <v>0</v>
      </c>
    </row>
    <row r="29" spans="3:5">
      <c r="C29" s="115" t="s">
        <v>80</v>
      </c>
      <c r="D29" s="120">
        <v>69372</v>
      </c>
      <c r="E29" s="115">
        <v>5</v>
      </c>
    </row>
    <row r="30" spans="3:5">
      <c r="C30" s="115" t="s">
        <v>81</v>
      </c>
      <c r="D30" s="120">
        <v>112666.56</v>
      </c>
      <c r="E30" s="115">
        <v>11</v>
      </c>
    </row>
    <row r="31" spans="3:5">
      <c r="C31" s="115" t="s">
        <v>297</v>
      </c>
      <c r="D31" s="120">
        <v>13976.64</v>
      </c>
      <c r="E31" s="115">
        <v>2</v>
      </c>
    </row>
    <row r="32" spans="3:5">
      <c r="C32" s="115" t="s">
        <v>293</v>
      </c>
      <c r="D32" s="120">
        <v>97251.839999999997</v>
      </c>
      <c r="E32" s="115">
        <v>5</v>
      </c>
    </row>
    <row r="33" spans="3:5">
      <c r="C33" s="115" t="s">
        <v>82</v>
      </c>
      <c r="D33" s="120">
        <v>26663.520000000004</v>
      </c>
      <c r="E33" s="115">
        <v>2</v>
      </c>
    </row>
    <row r="34" spans="3:5">
      <c r="C34" s="115" t="s">
        <v>83</v>
      </c>
      <c r="D34" s="120">
        <v>57863.040000000001</v>
      </c>
      <c r="E34" s="115">
        <v>9</v>
      </c>
    </row>
    <row r="35" spans="3:5">
      <c r="E35">
        <f>SUM(E24:E34)</f>
        <v>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32"/>
  <sheetViews>
    <sheetView workbookViewId="0">
      <selection activeCell="E34" sqref="E34"/>
    </sheetView>
  </sheetViews>
  <sheetFormatPr defaultRowHeight="15"/>
  <cols>
    <col min="3" max="3" width="21.85546875" customWidth="1"/>
    <col min="4" max="4" width="13.28515625" bestFit="1" customWidth="1"/>
    <col min="5" max="5" width="14" customWidth="1"/>
  </cols>
  <sheetData>
    <row r="3" spans="3:5" ht="30">
      <c r="C3" s="115"/>
      <c r="D3" s="115" t="s">
        <v>295</v>
      </c>
      <c r="E3" s="122" t="s">
        <v>298</v>
      </c>
    </row>
    <row r="4" spans="3:5">
      <c r="C4" s="115" t="s">
        <v>202</v>
      </c>
      <c r="D4" s="120">
        <v>375720</v>
      </c>
      <c r="E4" s="115">
        <v>38</v>
      </c>
    </row>
    <row r="5" spans="3:5">
      <c r="C5" s="115" t="s">
        <v>77</v>
      </c>
      <c r="D5" s="120">
        <v>148674</v>
      </c>
      <c r="E5" s="115">
        <v>7</v>
      </c>
    </row>
    <row r="6" spans="3:5">
      <c r="C6" s="115" t="s">
        <v>78</v>
      </c>
      <c r="D6" s="120">
        <v>122793</v>
      </c>
      <c r="E6" s="115">
        <v>5</v>
      </c>
    </row>
    <row r="7" spans="3:5">
      <c r="C7" s="115" t="s">
        <v>296</v>
      </c>
      <c r="D7" s="120">
        <v>54565</v>
      </c>
      <c r="E7" s="115">
        <v>6</v>
      </c>
    </row>
    <row r="8" spans="3:5">
      <c r="C8" s="115" t="s">
        <v>79</v>
      </c>
      <c r="D8" s="120">
        <v>41093</v>
      </c>
      <c r="E8" s="115">
        <v>4</v>
      </c>
    </row>
    <row r="9" spans="3:5">
      <c r="C9" s="115" t="s">
        <v>80</v>
      </c>
      <c r="D9" s="120">
        <v>144525</v>
      </c>
      <c r="E9" s="115">
        <v>8</v>
      </c>
    </row>
    <row r="10" spans="3:5">
      <c r="C10" s="115" t="s">
        <v>81</v>
      </c>
      <c r="D10" s="120">
        <v>234722</v>
      </c>
      <c r="E10" s="115">
        <v>13</v>
      </c>
    </row>
    <row r="11" spans="3:5">
      <c r="C11" s="115" t="s">
        <v>297</v>
      </c>
      <c r="D11" s="120">
        <v>29118</v>
      </c>
      <c r="E11" s="115">
        <v>4</v>
      </c>
    </row>
    <row r="12" spans="3:5">
      <c r="C12" s="115" t="s">
        <v>293</v>
      </c>
      <c r="D12" s="120">
        <v>202608</v>
      </c>
      <c r="E12" s="115">
        <v>12</v>
      </c>
    </row>
    <row r="13" spans="3:5">
      <c r="C13" s="115" t="s">
        <v>82</v>
      </c>
      <c r="D13" s="120">
        <v>55549</v>
      </c>
      <c r="E13" s="115">
        <v>3</v>
      </c>
    </row>
    <row r="14" spans="3:5">
      <c r="C14" s="115" t="s">
        <v>83</v>
      </c>
      <c r="D14" s="120">
        <v>120548</v>
      </c>
      <c r="E14" s="115">
        <v>8</v>
      </c>
    </row>
    <row r="15" spans="3:5">
      <c r="E15">
        <f>SUM(E4:E14)</f>
        <v>108</v>
      </c>
    </row>
    <row r="20" spans="3:5" ht="30">
      <c r="C20" s="115"/>
      <c r="D20" s="115" t="s">
        <v>295</v>
      </c>
      <c r="E20" s="122" t="s">
        <v>298</v>
      </c>
    </row>
    <row r="21" spans="3:5">
      <c r="C21" s="115" t="s">
        <v>202</v>
      </c>
      <c r="D21" s="55">
        <v>180345.60000000001</v>
      </c>
      <c r="E21" s="115">
        <v>52</v>
      </c>
    </row>
    <row r="22" spans="3:5">
      <c r="C22" s="115" t="s">
        <v>77</v>
      </c>
      <c r="D22" s="120">
        <v>71363.520000000004</v>
      </c>
      <c r="E22" s="115">
        <v>4</v>
      </c>
    </row>
    <row r="23" spans="3:5">
      <c r="C23" s="115" t="s">
        <v>78</v>
      </c>
      <c r="D23" s="120">
        <v>58940.639999999999</v>
      </c>
      <c r="E23" s="115">
        <v>5</v>
      </c>
    </row>
    <row r="24" spans="3:5">
      <c r="C24" s="115" t="s">
        <v>296</v>
      </c>
      <c r="D24" s="120">
        <v>26191.200000000001</v>
      </c>
      <c r="E24" s="115">
        <v>3</v>
      </c>
    </row>
    <row r="25" spans="3:5">
      <c r="C25" s="115" t="s">
        <v>79</v>
      </c>
      <c r="D25" s="120">
        <v>19724.64</v>
      </c>
      <c r="E25" s="115">
        <v>0</v>
      </c>
    </row>
    <row r="26" spans="3:5">
      <c r="C26" s="115" t="s">
        <v>80</v>
      </c>
      <c r="D26" s="120">
        <v>69372</v>
      </c>
      <c r="E26" s="115">
        <v>5</v>
      </c>
    </row>
    <row r="27" spans="3:5">
      <c r="C27" s="115" t="s">
        <v>81</v>
      </c>
      <c r="D27" s="120">
        <v>112666.56</v>
      </c>
      <c r="E27" s="115">
        <v>11</v>
      </c>
    </row>
    <row r="28" spans="3:5">
      <c r="C28" s="115" t="s">
        <v>297</v>
      </c>
      <c r="D28" s="120">
        <v>13976.64</v>
      </c>
      <c r="E28" s="115">
        <v>2</v>
      </c>
    </row>
    <row r="29" spans="3:5">
      <c r="C29" s="115" t="s">
        <v>293</v>
      </c>
      <c r="D29" s="120">
        <v>97251.839999999997</v>
      </c>
      <c r="E29" s="115">
        <v>5</v>
      </c>
    </row>
    <row r="30" spans="3:5">
      <c r="C30" s="115" t="s">
        <v>82</v>
      </c>
      <c r="D30" s="120">
        <v>26663.520000000004</v>
      </c>
      <c r="E30" s="115">
        <v>2</v>
      </c>
    </row>
    <row r="31" spans="3:5">
      <c r="C31" s="115" t="s">
        <v>83</v>
      </c>
      <c r="D31" s="120">
        <v>57863.040000000001</v>
      </c>
      <c r="E31" s="115">
        <v>9</v>
      </c>
    </row>
    <row r="32" spans="3:5">
      <c r="E32">
        <f>SUM(E21:E31)</f>
        <v>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8"/>
  <sheetViews>
    <sheetView topLeftCell="K1" workbookViewId="0">
      <selection activeCell="T3" sqref="S3:AC3"/>
    </sheetView>
  </sheetViews>
  <sheetFormatPr defaultRowHeight="12.75"/>
  <cols>
    <col min="1" max="1" width="2.85546875" style="6" customWidth="1"/>
    <col min="2" max="2" width="13" style="104" customWidth="1"/>
    <col min="3" max="3" width="19" style="104" customWidth="1"/>
    <col min="4" max="6" width="16.28515625" style="104" customWidth="1"/>
    <col min="7" max="7" width="14.28515625" style="104" customWidth="1"/>
    <col min="8" max="9" width="10.28515625" style="105" customWidth="1"/>
    <col min="10" max="10" width="9.85546875" style="104" customWidth="1"/>
    <col min="11" max="11" width="10.5703125" style="106" customWidth="1"/>
    <col min="12" max="12" width="7.28515625" style="104" hidden="1" customWidth="1"/>
    <col min="13" max="13" width="6" style="104" hidden="1" customWidth="1"/>
    <col min="14" max="15" width="8" style="104" hidden="1" customWidth="1"/>
    <col min="16" max="16" width="7.85546875" style="104" hidden="1" customWidth="1"/>
    <col min="17" max="17" width="9.5703125" style="110" hidden="1" customWidth="1"/>
    <col min="18" max="18" width="9.5703125" style="110" customWidth="1"/>
    <col min="19" max="19" width="11.42578125" style="110" customWidth="1"/>
    <col min="20" max="20" width="12" style="110" customWidth="1"/>
    <col min="21" max="21" width="12.85546875" style="110" customWidth="1"/>
    <col min="22" max="27" width="12.28515625" style="110" customWidth="1"/>
    <col min="28" max="28" width="15" style="110" customWidth="1"/>
    <col min="29" max="29" width="12.28515625" style="110" customWidth="1"/>
    <col min="30" max="30" width="14" style="110" customWidth="1"/>
    <col min="31" max="31" width="14.5703125" style="110" customWidth="1"/>
    <col min="32" max="32" width="15.5703125" style="104" customWidth="1"/>
    <col min="33" max="33" width="9.7109375" style="109" customWidth="1"/>
    <col min="34" max="34" width="16.42578125" style="6" customWidth="1"/>
    <col min="35" max="35" width="15.7109375" style="6" customWidth="1"/>
    <col min="36" max="16384" width="9.140625" style="6"/>
  </cols>
  <sheetData>
    <row r="1" spans="1:37" ht="258.75">
      <c r="A1" s="59" t="s">
        <v>101</v>
      </c>
      <c r="B1" s="60" t="s">
        <v>102</v>
      </c>
      <c r="C1" s="60" t="s">
        <v>103</v>
      </c>
      <c r="D1" s="61" t="s">
        <v>104</v>
      </c>
      <c r="E1" s="61"/>
      <c r="F1" s="61"/>
      <c r="G1" s="61" t="s">
        <v>105</v>
      </c>
      <c r="H1" s="62">
        <v>84</v>
      </c>
      <c r="I1" s="62"/>
      <c r="J1" s="63" t="s">
        <v>106</v>
      </c>
      <c r="K1" s="63" t="s">
        <v>107</v>
      </c>
      <c r="L1" s="63" t="s">
        <v>108</v>
      </c>
      <c r="M1" s="63" t="s">
        <v>109</v>
      </c>
      <c r="N1" s="64" t="s">
        <v>110</v>
      </c>
      <c r="O1" s="64" t="s">
        <v>111</v>
      </c>
      <c r="P1" s="64" t="s">
        <v>112</v>
      </c>
      <c r="Q1" s="65" t="s">
        <v>113</v>
      </c>
      <c r="R1" s="65"/>
      <c r="S1" s="65" t="s">
        <v>202</v>
      </c>
      <c r="T1" s="65" t="s">
        <v>77</v>
      </c>
      <c r="U1" s="65" t="s">
        <v>78</v>
      </c>
      <c r="V1" s="65" t="s">
        <v>291</v>
      </c>
      <c r="W1" s="65" t="s">
        <v>79</v>
      </c>
      <c r="X1" s="65" t="s">
        <v>80</v>
      </c>
      <c r="Y1" s="65" t="s">
        <v>81</v>
      </c>
      <c r="Z1" s="65" t="s">
        <v>292</v>
      </c>
      <c r="AA1" s="65" t="s">
        <v>293</v>
      </c>
      <c r="AB1" s="65" t="s">
        <v>82</v>
      </c>
      <c r="AC1" s="65" t="s">
        <v>83</v>
      </c>
      <c r="AD1" s="65"/>
      <c r="AE1" s="65"/>
      <c r="AF1" s="66" t="s">
        <v>114</v>
      </c>
      <c r="AG1" s="67" t="s">
        <v>115</v>
      </c>
    </row>
    <row r="2" spans="1:37">
      <c r="A2" s="59"/>
      <c r="B2" s="60"/>
      <c r="C2" s="60"/>
      <c r="D2" s="61"/>
      <c r="E2" s="61"/>
      <c r="F2" s="61"/>
      <c r="G2" s="61"/>
      <c r="H2" s="62"/>
      <c r="I2" s="62"/>
      <c r="J2" s="63"/>
      <c r="K2" s="63"/>
      <c r="L2" s="63"/>
      <c r="M2" s="63"/>
      <c r="N2" s="64"/>
      <c r="O2" s="64"/>
      <c r="P2" s="64"/>
      <c r="Q2" s="65"/>
      <c r="R2" s="65"/>
      <c r="S2" s="111">
        <v>4</v>
      </c>
      <c r="T2" s="111">
        <v>1</v>
      </c>
      <c r="U2" s="111">
        <v>1</v>
      </c>
      <c r="V2" s="111">
        <v>1</v>
      </c>
      <c r="W2" s="111">
        <v>1</v>
      </c>
      <c r="X2" s="111">
        <v>1.5</v>
      </c>
      <c r="Y2" s="111">
        <v>2.5</v>
      </c>
      <c r="Z2" s="111">
        <v>1</v>
      </c>
      <c r="AA2" s="111">
        <v>1</v>
      </c>
      <c r="AB2" s="111">
        <v>1</v>
      </c>
      <c r="AC2" s="111">
        <v>1</v>
      </c>
      <c r="AD2" s="111"/>
      <c r="AE2" s="111">
        <v>12</v>
      </c>
      <c r="AF2" s="66"/>
      <c r="AG2" s="67"/>
    </row>
    <row r="3" spans="1:37">
      <c r="A3" s="59"/>
      <c r="B3" s="60"/>
      <c r="C3" s="60"/>
      <c r="D3" s="61"/>
      <c r="E3" s="61"/>
      <c r="F3" s="61"/>
      <c r="G3" s="61"/>
      <c r="H3" s="62"/>
      <c r="I3" s="62"/>
      <c r="J3" s="63"/>
      <c r="K3" s="63"/>
      <c r="L3" s="63"/>
      <c r="M3" s="63"/>
      <c r="N3" s="64"/>
      <c r="O3" s="64"/>
      <c r="P3" s="64"/>
      <c r="Q3" s="65"/>
      <c r="R3" s="65"/>
      <c r="S3" s="111">
        <v>52</v>
      </c>
      <c r="T3" s="111">
        <v>4</v>
      </c>
      <c r="U3" s="111">
        <v>5</v>
      </c>
      <c r="V3" s="111">
        <v>3</v>
      </c>
      <c r="W3" s="111">
        <v>0</v>
      </c>
      <c r="X3" s="111">
        <v>5</v>
      </c>
      <c r="Y3" s="111">
        <v>11</v>
      </c>
      <c r="Z3" s="111">
        <v>2</v>
      </c>
      <c r="AA3" s="111">
        <v>5</v>
      </c>
      <c r="AB3" s="111">
        <v>2</v>
      </c>
      <c r="AC3" s="111">
        <v>9</v>
      </c>
      <c r="AD3" s="111"/>
      <c r="AE3" s="111"/>
      <c r="AF3" s="66"/>
      <c r="AG3" s="67"/>
    </row>
    <row r="4" spans="1:37" ht="25.5">
      <c r="A4" s="132">
        <v>1</v>
      </c>
      <c r="B4" s="68" t="s">
        <v>116</v>
      </c>
      <c r="C4" s="68" t="s">
        <v>116</v>
      </c>
      <c r="D4" s="69">
        <v>7600</v>
      </c>
      <c r="E4" s="69">
        <f>J4*10</f>
        <v>948500</v>
      </c>
      <c r="F4" s="69"/>
      <c r="G4" s="70">
        <v>136561</v>
      </c>
      <c r="H4" s="71">
        <f>G4/$H$1</f>
        <v>1625.7261904761904</v>
      </c>
      <c r="I4" s="71"/>
      <c r="J4" s="72">
        <v>94850</v>
      </c>
      <c r="K4" s="73">
        <f>(O4+P4+Q4)/3</f>
        <v>82978.333333333328</v>
      </c>
      <c r="L4" s="74">
        <f t="shared" ref="L4:L44" si="0">D4/J4</f>
        <v>8.012651555086979E-2</v>
      </c>
      <c r="M4" s="74">
        <f>G4/K4</f>
        <v>1.6457428646032097</v>
      </c>
      <c r="N4" s="71">
        <v>78158</v>
      </c>
      <c r="O4" s="71">
        <v>87342</v>
      </c>
      <c r="P4" s="71">
        <v>85341</v>
      </c>
      <c r="Q4" s="71">
        <v>76252</v>
      </c>
      <c r="R4" s="71">
        <f>K4/$H$1</f>
        <v>987.83730158730157</v>
      </c>
      <c r="S4" s="71">
        <f>R4*$S$2*$S$3</f>
        <v>205470.15873015873</v>
      </c>
      <c r="T4" s="71">
        <f>R4*$T$2*$T$3</f>
        <v>3951.3492063492063</v>
      </c>
      <c r="U4" s="71">
        <f>R4*$U$2*$U$3</f>
        <v>4939.186507936508</v>
      </c>
      <c r="V4" s="71">
        <f>R4*$V$2*$V$3</f>
        <v>2963.5119047619046</v>
      </c>
      <c r="W4" s="71">
        <f>R4*$W$2*$W$3</f>
        <v>0</v>
      </c>
      <c r="X4" s="71">
        <f>R4*$X$2*$X$3</f>
        <v>7408.7797619047615</v>
      </c>
      <c r="Y4" s="71">
        <f>R4*$Y$2*$Y$3</f>
        <v>27165.525793650795</v>
      </c>
      <c r="Z4" s="71">
        <f>R4*$Z$2*$Z$3</f>
        <v>1975.6746031746031</v>
      </c>
      <c r="AA4" s="71">
        <f>R4*$AA$2*$AA$3</f>
        <v>4939.186507936508</v>
      </c>
      <c r="AB4" s="71">
        <f>R4*$AB$2*$AB$3</f>
        <v>1975.6746031746031</v>
      </c>
      <c r="AC4" s="71">
        <f>R4*$AC$2*$AC$3</f>
        <v>8890.5357142857138</v>
      </c>
      <c r="AD4" s="71">
        <f>SUM(S4:AC4)</f>
        <v>269679.58333333337</v>
      </c>
      <c r="AE4" s="71">
        <f>AD4*AG4</f>
        <v>15776.255625000003</v>
      </c>
      <c r="AF4" s="75">
        <f>K4*12</f>
        <v>995740</v>
      </c>
      <c r="AG4" s="76">
        <v>5.8500000000000003E-2</v>
      </c>
      <c r="AH4" s="113"/>
      <c r="AI4" s="112"/>
    </row>
    <row r="5" spans="1:37" ht="25.5">
      <c r="A5" s="132"/>
      <c r="B5" s="77" t="s">
        <v>117</v>
      </c>
      <c r="C5" s="77" t="s">
        <v>118</v>
      </c>
      <c r="D5" s="69">
        <v>991051</v>
      </c>
      <c r="E5" s="69">
        <f>D5+J5*3</f>
        <v>1397551</v>
      </c>
      <c r="F5" s="69"/>
      <c r="G5" s="70">
        <v>1368958</v>
      </c>
      <c r="H5" s="71">
        <f t="shared" ref="H5:H44" si="1">G5/$H$1</f>
        <v>16297.119047619048</v>
      </c>
      <c r="I5" s="71"/>
      <c r="J5" s="72">
        <v>135500</v>
      </c>
      <c r="K5" s="73">
        <f t="shared" ref="K5:K36" si="2">(O5+P5+Q5)/3</f>
        <v>136454.66666666666</v>
      </c>
      <c r="L5" s="74">
        <f t="shared" si="0"/>
        <v>7.314029520295203</v>
      </c>
      <c r="M5" s="74">
        <f t="shared" ref="M5:M44" si="3">G5/K5</f>
        <v>10.03232819691033</v>
      </c>
      <c r="N5" s="71">
        <v>143245</v>
      </c>
      <c r="O5" s="71">
        <v>136922</v>
      </c>
      <c r="P5" s="71">
        <v>138365</v>
      </c>
      <c r="Q5" s="71">
        <v>134077</v>
      </c>
      <c r="R5" s="71">
        <f t="shared" ref="R5:R44" si="4">K5/$H$1</f>
        <v>1624.4603174603174</v>
      </c>
      <c r="S5" s="71">
        <f t="shared" ref="S5:S44" si="5">R5*$S$2*$S$3</f>
        <v>337887.74603174604</v>
      </c>
      <c r="T5" s="71">
        <f t="shared" ref="T5:T44" si="6">R5*$T$2*$T$3</f>
        <v>6497.8412698412694</v>
      </c>
      <c r="U5" s="71">
        <f t="shared" ref="U5:U44" si="7">R5*$U$2*$U$3</f>
        <v>8122.3015873015866</v>
      </c>
      <c r="V5" s="71">
        <f t="shared" ref="V5:V44" si="8">R5*$V$2*$V$3</f>
        <v>4873.3809523809523</v>
      </c>
      <c r="W5" s="71">
        <f t="shared" ref="W5:W44" si="9">R5*$W$2*$W$3</f>
        <v>0</v>
      </c>
      <c r="X5" s="71">
        <f t="shared" ref="X5:X44" si="10">R5*$X$2*$X$3</f>
        <v>12183.452380952382</v>
      </c>
      <c r="Y5" s="71">
        <f t="shared" ref="Y5:Y44" si="11">R5*$Y$2*$Y$3</f>
        <v>44672.658730158728</v>
      </c>
      <c r="Z5" s="71">
        <f t="shared" ref="Z5:Z44" si="12">R5*$Z$2*$Z$3</f>
        <v>3248.9206349206347</v>
      </c>
      <c r="AA5" s="71">
        <f t="shared" ref="AA5:AA44" si="13">R5*$AA$2*$AA$3</f>
        <v>8122.3015873015866</v>
      </c>
      <c r="AB5" s="71">
        <f t="shared" ref="AB5:AB44" si="14">R5*$AB$2*$AB$3</f>
        <v>3248.9206349206347</v>
      </c>
      <c r="AC5" s="71">
        <f t="shared" ref="AC5:AC44" si="15">R5*$AC$2*$AC$3</f>
        <v>14620.142857142857</v>
      </c>
      <c r="AD5" s="71">
        <f t="shared" ref="AD5:AD44" si="16">SUM(S5:AC5)</f>
        <v>443477.66666666669</v>
      </c>
      <c r="AE5" s="71">
        <f t="shared" ref="AE5:AE44" si="17">AD5*AG5</f>
        <v>28604.309500000003</v>
      </c>
      <c r="AF5" s="75">
        <f t="shared" ref="AF5:AF44" si="18">K5*12</f>
        <v>1637456</v>
      </c>
      <c r="AG5" s="78">
        <v>6.4500000000000002E-2</v>
      </c>
      <c r="AH5" s="113"/>
      <c r="AI5" s="112"/>
    </row>
    <row r="6" spans="1:37" ht="25.5">
      <c r="A6" s="79">
        <v>2</v>
      </c>
      <c r="B6" s="77" t="s">
        <v>119</v>
      </c>
      <c r="C6" s="77" t="s">
        <v>120</v>
      </c>
      <c r="D6" s="69">
        <f>90</f>
        <v>90</v>
      </c>
      <c r="E6" s="69">
        <f>J6*10</f>
        <v>1664340</v>
      </c>
      <c r="F6" s="69"/>
      <c r="G6" s="70">
        <v>157482</v>
      </c>
      <c r="H6" s="71">
        <f t="shared" si="1"/>
        <v>1874.7857142857142</v>
      </c>
      <c r="I6" s="71"/>
      <c r="J6" s="72">
        <v>166434</v>
      </c>
      <c r="K6" s="73">
        <f t="shared" si="2"/>
        <v>121365</v>
      </c>
      <c r="L6" s="74">
        <f t="shared" si="0"/>
        <v>5.4075489383178914E-4</v>
      </c>
      <c r="M6" s="74">
        <f t="shared" si="3"/>
        <v>1.2975899147200594</v>
      </c>
      <c r="N6" s="71">
        <v>134239</v>
      </c>
      <c r="O6" s="80">
        <v>126690</v>
      </c>
      <c r="P6" s="80">
        <v>118049</v>
      </c>
      <c r="Q6" s="80">
        <f>2143+6105+111108</f>
        <v>119356</v>
      </c>
      <c r="R6" s="71">
        <f t="shared" si="4"/>
        <v>1444.8214285714287</v>
      </c>
      <c r="S6" s="71">
        <f t="shared" si="5"/>
        <v>300522.85714285716</v>
      </c>
      <c r="T6" s="71">
        <f t="shared" si="6"/>
        <v>5779.2857142857147</v>
      </c>
      <c r="U6" s="71">
        <f t="shared" si="7"/>
        <v>7224.1071428571431</v>
      </c>
      <c r="V6" s="71">
        <f t="shared" si="8"/>
        <v>4334.4642857142862</v>
      </c>
      <c r="W6" s="71">
        <f t="shared" si="9"/>
        <v>0</v>
      </c>
      <c r="X6" s="71">
        <f t="shared" si="10"/>
        <v>10836.160714285716</v>
      </c>
      <c r="Y6" s="71">
        <f t="shared" si="11"/>
        <v>39732.58928571429</v>
      </c>
      <c r="Z6" s="71">
        <f t="shared" si="12"/>
        <v>2889.6428571428573</v>
      </c>
      <c r="AA6" s="71">
        <f t="shared" si="13"/>
        <v>7224.1071428571431</v>
      </c>
      <c r="AB6" s="71">
        <f t="shared" si="14"/>
        <v>2889.6428571428573</v>
      </c>
      <c r="AC6" s="71">
        <f t="shared" si="15"/>
        <v>13003.392857142859</v>
      </c>
      <c r="AD6" s="71">
        <f t="shared" si="16"/>
        <v>394436.25</v>
      </c>
      <c r="AE6" s="71">
        <f t="shared" si="17"/>
        <v>86144.877000000008</v>
      </c>
      <c r="AF6" s="75">
        <f t="shared" si="18"/>
        <v>1456380</v>
      </c>
      <c r="AG6" s="81">
        <v>0.21840000000000001</v>
      </c>
      <c r="AH6" s="113"/>
      <c r="AI6" s="112"/>
    </row>
    <row r="7" spans="1:37" ht="25.5">
      <c r="A7" s="79">
        <v>3</v>
      </c>
      <c r="B7" s="77" t="s">
        <v>121</v>
      </c>
      <c r="C7" s="77" t="s">
        <v>121</v>
      </c>
      <c r="D7" s="69">
        <v>1456744</v>
      </c>
      <c r="E7" s="69">
        <f>1456744+J7*3</f>
        <v>2155444</v>
      </c>
      <c r="F7" s="69"/>
      <c r="G7" s="70">
        <v>1918229</v>
      </c>
      <c r="H7" s="71">
        <f t="shared" si="1"/>
        <v>22836.059523809523</v>
      </c>
      <c r="I7" s="71"/>
      <c r="J7" s="72">
        <v>232900</v>
      </c>
      <c r="K7" s="73">
        <f t="shared" si="2"/>
        <v>229417</v>
      </c>
      <c r="L7" s="74">
        <f t="shared" si="0"/>
        <v>6.2548046371833408</v>
      </c>
      <c r="M7" s="74">
        <f t="shared" si="3"/>
        <v>8.36132021602584</v>
      </c>
      <c r="N7" s="71">
        <v>224504</v>
      </c>
      <c r="O7" s="71">
        <v>225507</v>
      </c>
      <c r="P7" s="71">
        <v>231313</v>
      </c>
      <c r="Q7" s="71">
        <v>231431</v>
      </c>
      <c r="R7" s="71">
        <f t="shared" si="4"/>
        <v>2731.1547619047619</v>
      </c>
      <c r="S7" s="71">
        <f t="shared" si="5"/>
        <v>568080.19047619053</v>
      </c>
      <c r="T7" s="71">
        <f t="shared" si="6"/>
        <v>10924.619047619048</v>
      </c>
      <c r="U7" s="71">
        <f t="shared" si="7"/>
        <v>13655.773809523809</v>
      </c>
      <c r="V7" s="71">
        <f t="shared" si="8"/>
        <v>8193.4642857142862</v>
      </c>
      <c r="W7" s="71">
        <f t="shared" si="9"/>
        <v>0</v>
      </c>
      <c r="X7" s="71">
        <f t="shared" si="10"/>
        <v>20483.660714285717</v>
      </c>
      <c r="Y7" s="71">
        <f t="shared" si="11"/>
        <v>75106.755952380947</v>
      </c>
      <c r="Z7" s="71">
        <f t="shared" si="12"/>
        <v>5462.3095238095239</v>
      </c>
      <c r="AA7" s="71">
        <f t="shared" si="13"/>
        <v>13655.773809523809</v>
      </c>
      <c r="AB7" s="71">
        <f t="shared" si="14"/>
        <v>5462.3095238095239</v>
      </c>
      <c r="AC7" s="71">
        <f t="shared" si="15"/>
        <v>24580.392857142859</v>
      </c>
      <c r="AD7" s="71">
        <f t="shared" si="16"/>
        <v>745605.24999999988</v>
      </c>
      <c r="AE7" s="71">
        <f t="shared" si="17"/>
        <v>30569.815249999996</v>
      </c>
      <c r="AF7" s="75">
        <f t="shared" si="18"/>
        <v>2753004</v>
      </c>
      <c r="AG7" s="78">
        <v>4.1000000000000002E-2</v>
      </c>
      <c r="AH7" s="113"/>
      <c r="AI7" s="112"/>
    </row>
    <row r="8" spans="1:37" ht="25.5">
      <c r="A8" s="79">
        <v>4</v>
      </c>
      <c r="B8" s="77" t="s">
        <v>122</v>
      </c>
      <c r="C8" s="77" t="s">
        <v>123</v>
      </c>
      <c r="D8" s="69">
        <v>360</v>
      </c>
      <c r="E8" s="69">
        <f>J8*11</f>
        <v>949740</v>
      </c>
      <c r="F8" s="69"/>
      <c r="G8" s="70">
        <v>104134</v>
      </c>
      <c r="H8" s="71">
        <f t="shared" si="1"/>
        <v>1239.6904761904761</v>
      </c>
      <c r="I8" s="71"/>
      <c r="J8" s="72">
        <v>86340</v>
      </c>
      <c r="K8" s="73">
        <f t="shared" si="2"/>
        <v>70762.333333333328</v>
      </c>
      <c r="L8" s="74">
        <f t="shared" si="0"/>
        <v>4.1695621959694229E-3</v>
      </c>
      <c r="M8" s="74">
        <f t="shared" si="3"/>
        <v>1.4716021235403016</v>
      </c>
      <c r="N8" s="71">
        <v>72170</v>
      </c>
      <c r="O8" s="71">
        <v>70440</v>
      </c>
      <c r="P8" s="71">
        <v>70692</v>
      </c>
      <c r="Q8" s="71">
        <v>71155</v>
      </c>
      <c r="R8" s="71">
        <f t="shared" si="4"/>
        <v>842.40873015873012</v>
      </c>
      <c r="S8" s="71">
        <f t="shared" si="5"/>
        <v>175221.01587301586</v>
      </c>
      <c r="T8" s="71">
        <f t="shared" si="6"/>
        <v>3369.6349206349205</v>
      </c>
      <c r="U8" s="71">
        <f t="shared" si="7"/>
        <v>4212.0436507936502</v>
      </c>
      <c r="V8" s="71">
        <f t="shared" si="8"/>
        <v>2527.2261904761904</v>
      </c>
      <c r="W8" s="71">
        <f t="shared" si="9"/>
        <v>0</v>
      </c>
      <c r="X8" s="71">
        <f t="shared" si="10"/>
        <v>6318.0654761904761</v>
      </c>
      <c r="Y8" s="71">
        <f t="shared" si="11"/>
        <v>23166.240079365074</v>
      </c>
      <c r="Z8" s="71">
        <f t="shared" si="12"/>
        <v>1684.8174603174602</v>
      </c>
      <c r="AA8" s="71">
        <f t="shared" si="13"/>
        <v>4212.0436507936502</v>
      </c>
      <c r="AB8" s="71">
        <f t="shared" si="14"/>
        <v>1684.8174603174602</v>
      </c>
      <c r="AC8" s="71">
        <f t="shared" si="15"/>
        <v>7581.6785714285706</v>
      </c>
      <c r="AD8" s="71">
        <f t="shared" si="16"/>
        <v>229977.58333333328</v>
      </c>
      <c r="AE8" s="71">
        <f t="shared" si="17"/>
        <v>10923.935208333331</v>
      </c>
      <c r="AF8" s="75">
        <f t="shared" si="18"/>
        <v>849148</v>
      </c>
      <c r="AG8" s="78">
        <v>4.7500000000000001E-2</v>
      </c>
      <c r="AH8" s="113"/>
      <c r="AI8" s="112"/>
    </row>
    <row r="9" spans="1:37" ht="25.5">
      <c r="A9" s="79">
        <v>5</v>
      </c>
      <c r="B9" s="68" t="s">
        <v>124</v>
      </c>
      <c r="C9" s="77" t="s">
        <v>125</v>
      </c>
      <c r="D9" s="69">
        <v>469375</v>
      </c>
      <c r="E9" s="69">
        <f>D9</f>
        <v>469375</v>
      </c>
      <c r="F9" s="69"/>
      <c r="G9" s="70">
        <v>634012</v>
      </c>
      <c r="H9" s="71">
        <f t="shared" si="1"/>
        <v>7547.7619047619046</v>
      </c>
      <c r="I9" s="71"/>
      <c r="J9" s="72">
        <v>31200</v>
      </c>
      <c r="K9" s="73">
        <f t="shared" si="2"/>
        <v>37575</v>
      </c>
      <c r="L9" s="74">
        <f t="shared" si="0"/>
        <v>15.044070512820513</v>
      </c>
      <c r="M9" s="74">
        <f t="shared" si="3"/>
        <v>16.87324018629408</v>
      </c>
      <c r="N9" s="71">
        <v>38322</v>
      </c>
      <c r="O9" s="71">
        <v>37128</v>
      </c>
      <c r="P9" s="71">
        <v>38507</v>
      </c>
      <c r="Q9" s="71">
        <v>37090</v>
      </c>
      <c r="R9" s="71">
        <f t="shared" si="4"/>
        <v>447.32142857142856</v>
      </c>
      <c r="S9" s="71">
        <f t="shared" si="5"/>
        <v>93042.857142857145</v>
      </c>
      <c r="T9" s="71">
        <f t="shared" si="6"/>
        <v>1789.2857142857142</v>
      </c>
      <c r="U9" s="71">
        <f t="shared" si="7"/>
        <v>2236.6071428571427</v>
      </c>
      <c r="V9" s="71">
        <f t="shared" si="8"/>
        <v>1341.9642857142858</v>
      </c>
      <c r="W9" s="71">
        <f t="shared" si="9"/>
        <v>0</v>
      </c>
      <c r="X9" s="71">
        <f t="shared" si="10"/>
        <v>3354.9107142857147</v>
      </c>
      <c r="Y9" s="71">
        <f t="shared" si="11"/>
        <v>12301.339285714284</v>
      </c>
      <c r="Z9" s="71">
        <f t="shared" si="12"/>
        <v>894.64285714285711</v>
      </c>
      <c r="AA9" s="71">
        <f t="shared" si="13"/>
        <v>2236.6071428571427</v>
      </c>
      <c r="AB9" s="71">
        <f t="shared" si="14"/>
        <v>894.64285714285711</v>
      </c>
      <c r="AC9" s="71">
        <f t="shared" si="15"/>
        <v>4025.8928571428569</v>
      </c>
      <c r="AD9" s="71">
        <f t="shared" si="16"/>
        <v>122118.75</v>
      </c>
      <c r="AE9" s="71">
        <f t="shared" si="17"/>
        <v>12633.905188125</v>
      </c>
      <c r="AF9" s="75">
        <f t="shared" si="18"/>
        <v>450900</v>
      </c>
      <c r="AG9" s="78">
        <v>0.1034559</v>
      </c>
      <c r="AH9" s="113"/>
      <c r="AI9" s="112"/>
    </row>
    <row r="10" spans="1:37" ht="51">
      <c r="A10" s="79">
        <v>6</v>
      </c>
      <c r="B10" s="77" t="s">
        <v>126</v>
      </c>
      <c r="C10" s="77" t="s">
        <v>127</v>
      </c>
      <c r="D10" s="69">
        <v>1320</v>
      </c>
      <c r="E10" s="69">
        <f>J10*10</f>
        <v>77400</v>
      </c>
      <c r="F10" s="69"/>
      <c r="G10" s="70">
        <v>54660</v>
      </c>
      <c r="H10" s="71">
        <f t="shared" si="1"/>
        <v>650.71428571428567</v>
      </c>
      <c r="I10" s="71"/>
      <c r="J10" s="72">
        <v>7740</v>
      </c>
      <c r="K10" s="73">
        <f t="shared" si="2"/>
        <v>9755.6666666666661</v>
      </c>
      <c r="L10" s="74">
        <f t="shared" si="0"/>
        <v>0.17054263565891473</v>
      </c>
      <c r="M10" s="74">
        <f t="shared" si="3"/>
        <v>5.6028974613045417</v>
      </c>
      <c r="N10" s="71">
        <v>7780</v>
      </c>
      <c r="O10" s="71">
        <v>9107</v>
      </c>
      <c r="P10" s="71">
        <v>9951</v>
      </c>
      <c r="Q10" s="71">
        <v>10209</v>
      </c>
      <c r="R10" s="71">
        <f t="shared" si="4"/>
        <v>116.13888888888889</v>
      </c>
      <c r="S10" s="71">
        <f t="shared" si="5"/>
        <v>24156.888888888887</v>
      </c>
      <c r="T10" s="71">
        <f t="shared" si="6"/>
        <v>464.55555555555554</v>
      </c>
      <c r="U10" s="71">
        <f t="shared" si="7"/>
        <v>580.69444444444446</v>
      </c>
      <c r="V10" s="71">
        <f t="shared" si="8"/>
        <v>348.41666666666663</v>
      </c>
      <c r="W10" s="71">
        <f t="shared" si="9"/>
        <v>0</v>
      </c>
      <c r="X10" s="71">
        <f t="shared" si="10"/>
        <v>871.04166666666652</v>
      </c>
      <c r="Y10" s="71">
        <f t="shared" si="11"/>
        <v>3193.8194444444443</v>
      </c>
      <c r="Z10" s="71">
        <f t="shared" si="12"/>
        <v>232.27777777777777</v>
      </c>
      <c r="AA10" s="71">
        <f t="shared" si="13"/>
        <v>580.69444444444446</v>
      </c>
      <c r="AB10" s="71">
        <f t="shared" si="14"/>
        <v>232.27777777777777</v>
      </c>
      <c r="AC10" s="71">
        <f t="shared" si="15"/>
        <v>1045.25</v>
      </c>
      <c r="AD10" s="71">
        <f t="shared" si="16"/>
        <v>31705.916666666668</v>
      </c>
      <c r="AE10" s="71">
        <f t="shared" si="17"/>
        <v>5960.7123333333338</v>
      </c>
      <c r="AF10" s="75">
        <f t="shared" si="18"/>
        <v>117068</v>
      </c>
      <c r="AG10" s="78">
        <v>0.188</v>
      </c>
      <c r="AH10" s="113"/>
      <c r="AI10" s="112"/>
      <c r="AK10" s="62"/>
    </row>
    <row r="11" spans="1:37" ht="25.5">
      <c r="A11" s="79">
        <v>7</v>
      </c>
      <c r="B11" s="77" t="s">
        <v>128</v>
      </c>
      <c r="C11" s="77" t="s">
        <v>129</v>
      </c>
      <c r="D11" s="69">
        <v>1490328</v>
      </c>
      <c r="E11" s="69">
        <f>D11</f>
        <v>1490328</v>
      </c>
      <c r="F11" s="69"/>
      <c r="G11" s="70">
        <v>1894094</v>
      </c>
      <c r="H11" s="71">
        <f t="shared" si="1"/>
        <v>22548.738095238095</v>
      </c>
      <c r="I11" s="71"/>
      <c r="J11" s="72">
        <v>60600</v>
      </c>
      <c r="K11" s="73">
        <f t="shared" si="2"/>
        <v>72182.333333333328</v>
      </c>
      <c r="L11" s="74">
        <f t="shared" si="0"/>
        <v>24.592871287128713</v>
      </c>
      <c r="M11" s="74">
        <f t="shared" si="3"/>
        <v>26.240409703205312</v>
      </c>
      <c r="N11" s="80">
        <v>68970</v>
      </c>
      <c r="O11" s="80">
        <v>67708</v>
      </c>
      <c r="P11" s="80">
        <v>74700</v>
      </c>
      <c r="Q11" s="80">
        <v>74139</v>
      </c>
      <c r="R11" s="71">
        <f t="shared" si="4"/>
        <v>859.31349206349205</v>
      </c>
      <c r="S11" s="71">
        <f t="shared" si="5"/>
        <v>178737.20634920633</v>
      </c>
      <c r="T11" s="71">
        <f t="shared" si="6"/>
        <v>3437.2539682539682</v>
      </c>
      <c r="U11" s="71">
        <f t="shared" si="7"/>
        <v>4296.5674603174602</v>
      </c>
      <c r="V11" s="71">
        <f t="shared" si="8"/>
        <v>2577.9404761904761</v>
      </c>
      <c r="W11" s="71">
        <f t="shared" si="9"/>
        <v>0</v>
      </c>
      <c r="X11" s="71">
        <f t="shared" si="10"/>
        <v>6444.8511904761908</v>
      </c>
      <c r="Y11" s="71">
        <f t="shared" si="11"/>
        <v>23631.121031746032</v>
      </c>
      <c r="Z11" s="71">
        <f t="shared" si="12"/>
        <v>1718.6269841269841</v>
      </c>
      <c r="AA11" s="71">
        <f t="shared" si="13"/>
        <v>4296.5674603174602</v>
      </c>
      <c r="AB11" s="71">
        <f t="shared" si="14"/>
        <v>1718.6269841269841</v>
      </c>
      <c r="AC11" s="71">
        <f t="shared" si="15"/>
        <v>7733.8214285714284</v>
      </c>
      <c r="AD11" s="71">
        <f t="shared" si="16"/>
        <v>234592.58333333328</v>
      </c>
      <c r="AE11" s="71">
        <f t="shared" si="17"/>
        <v>15483.110499999997</v>
      </c>
      <c r="AF11" s="75">
        <f t="shared" si="18"/>
        <v>866188</v>
      </c>
      <c r="AG11" s="78">
        <v>6.6000000000000003E-2</v>
      </c>
      <c r="AH11" s="113"/>
      <c r="AI11" s="112"/>
    </row>
    <row r="12" spans="1:37" ht="38.25">
      <c r="A12" s="79">
        <v>8</v>
      </c>
      <c r="B12" s="77" t="s">
        <v>130</v>
      </c>
      <c r="C12" s="77" t="s">
        <v>131</v>
      </c>
      <c r="D12" s="69">
        <f>169400</f>
        <v>169400</v>
      </c>
      <c r="E12" s="69">
        <f>D12</f>
        <v>169400</v>
      </c>
      <c r="F12" s="69"/>
      <c r="G12" s="70">
        <v>350500</v>
      </c>
      <c r="H12" s="71">
        <f t="shared" si="1"/>
        <v>4172.6190476190477</v>
      </c>
      <c r="I12" s="71"/>
      <c r="J12" s="72">
        <v>69644</v>
      </c>
      <c r="K12" s="73">
        <f t="shared" si="2"/>
        <v>71601.666666666672</v>
      </c>
      <c r="L12" s="74">
        <f t="shared" si="0"/>
        <v>2.4323703405892827</v>
      </c>
      <c r="M12" s="74">
        <f t="shared" si="3"/>
        <v>4.8951374502455716</v>
      </c>
      <c r="N12" s="71">
        <v>75701</v>
      </c>
      <c r="O12" s="71">
        <v>59901</v>
      </c>
      <c r="P12" s="71">
        <v>72905</v>
      </c>
      <c r="Q12" s="71">
        <v>81999</v>
      </c>
      <c r="R12" s="71">
        <f t="shared" si="4"/>
        <v>852.40079365079373</v>
      </c>
      <c r="S12" s="71">
        <f t="shared" si="5"/>
        <v>177299.36507936509</v>
      </c>
      <c r="T12" s="71">
        <f t="shared" si="6"/>
        <v>3409.6031746031749</v>
      </c>
      <c r="U12" s="71">
        <f t="shared" si="7"/>
        <v>4262.0039682539682</v>
      </c>
      <c r="V12" s="71">
        <f t="shared" si="8"/>
        <v>2557.2023809523812</v>
      </c>
      <c r="W12" s="71">
        <f t="shared" si="9"/>
        <v>0</v>
      </c>
      <c r="X12" s="71">
        <f t="shared" si="10"/>
        <v>6393.0059523809532</v>
      </c>
      <c r="Y12" s="71">
        <f t="shared" si="11"/>
        <v>23441.021825396827</v>
      </c>
      <c r="Z12" s="71">
        <f t="shared" si="12"/>
        <v>1704.8015873015875</v>
      </c>
      <c r="AA12" s="71">
        <f t="shared" si="13"/>
        <v>4262.0039682539682</v>
      </c>
      <c r="AB12" s="71">
        <f t="shared" si="14"/>
        <v>1704.8015873015875</v>
      </c>
      <c r="AC12" s="71">
        <f t="shared" si="15"/>
        <v>7671.6071428571431</v>
      </c>
      <c r="AD12" s="71">
        <f t="shared" si="16"/>
        <v>232705.41666666666</v>
      </c>
      <c r="AE12" s="71">
        <f t="shared" si="17"/>
        <v>36069.339583333334</v>
      </c>
      <c r="AF12" s="75">
        <f t="shared" si="18"/>
        <v>859220</v>
      </c>
      <c r="AG12" s="78">
        <v>0.155</v>
      </c>
      <c r="AH12" s="113"/>
      <c r="AI12" s="112"/>
    </row>
    <row r="13" spans="1:37" ht="25.5">
      <c r="A13" s="79">
        <v>9</v>
      </c>
      <c r="B13" s="77" t="s">
        <v>132</v>
      </c>
      <c r="C13" s="77" t="s">
        <v>133</v>
      </c>
      <c r="D13" s="69">
        <v>105593</v>
      </c>
      <c r="E13" s="69">
        <f>D13+J13*10</f>
        <v>411593</v>
      </c>
      <c r="F13" s="69"/>
      <c r="G13" s="70">
        <v>211411</v>
      </c>
      <c r="H13" s="71">
        <f t="shared" si="1"/>
        <v>2516.7976190476193</v>
      </c>
      <c r="I13" s="71"/>
      <c r="J13" s="72">
        <v>30600</v>
      </c>
      <c r="K13" s="73">
        <f t="shared" si="2"/>
        <v>33135</v>
      </c>
      <c r="L13" s="74">
        <f t="shared" si="0"/>
        <v>3.4507516339869282</v>
      </c>
      <c r="M13" s="74">
        <f t="shared" si="3"/>
        <v>6.3802927418137925</v>
      </c>
      <c r="N13" s="71">
        <v>33194</v>
      </c>
      <c r="O13" s="71">
        <v>27133</v>
      </c>
      <c r="P13" s="71">
        <v>34869</v>
      </c>
      <c r="Q13" s="71">
        <v>37403</v>
      </c>
      <c r="R13" s="71">
        <f t="shared" si="4"/>
        <v>394.46428571428572</v>
      </c>
      <c r="S13" s="71">
        <f t="shared" si="5"/>
        <v>82048.571428571435</v>
      </c>
      <c r="T13" s="71">
        <f t="shared" si="6"/>
        <v>1577.8571428571429</v>
      </c>
      <c r="U13" s="71">
        <f t="shared" si="7"/>
        <v>1972.3214285714287</v>
      </c>
      <c r="V13" s="71">
        <f t="shared" si="8"/>
        <v>1183.3928571428571</v>
      </c>
      <c r="W13" s="71">
        <f t="shared" si="9"/>
        <v>0</v>
      </c>
      <c r="X13" s="71">
        <f t="shared" si="10"/>
        <v>2958.4821428571427</v>
      </c>
      <c r="Y13" s="71">
        <f t="shared" si="11"/>
        <v>10847.767857142857</v>
      </c>
      <c r="Z13" s="71">
        <f t="shared" si="12"/>
        <v>788.92857142857144</v>
      </c>
      <c r="AA13" s="71">
        <f t="shared" si="13"/>
        <v>1972.3214285714287</v>
      </c>
      <c r="AB13" s="71">
        <f t="shared" si="14"/>
        <v>788.92857142857144</v>
      </c>
      <c r="AC13" s="71">
        <f t="shared" si="15"/>
        <v>3550.1785714285716</v>
      </c>
      <c r="AD13" s="71">
        <f t="shared" si="16"/>
        <v>107688.75</v>
      </c>
      <c r="AE13" s="71">
        <f t="shared" si="17"/>
        <v>3166.04925</v>
      </c>
      <c r="AF13" s="75">
        <f t="shared" si="18"/>
        <v>397620</v>
      </c>
      <c r="AG13" s="78">
        <v>2.9399999999999999E-2</v>
      </c>
      <c r="AH13" s="113"/>
      <c r="AI13" s="112"/>
    </row>
    <row r="14" spans="1:37" ht="25.5">
      <c r="A14" s="79">
        <v>10</v>
      </c>
      <c r="B14" s="77" t="s">
        <v>134</v>
      </c>
      <c r="C14" s="77" t="s">
        <v>134</v>
      </c>
      <c r="D14" s="69">
        <v>794419</v>
      </c>
      <c r="E14" s="69">
        <f t="shared" ref="E14:E26" si="19">D14</f>
        <v>794419</v>
      </c>
      <c r="F14" s="69"/>
      <c r="G14" s="70">
        <v>927688</v>
      </c>
      <c r="H14" s="71">
        <f t="shared" si="1"/>
        <v>11043.904761904761</v>
      </c>
      <c r="I14" s="71"/>
      <c r="J14" s="72">
        <v>22725</v>
      </c>
      <c r="K14" s="73">
        <f t="shared" si="2"/>
        <v>26612.666666666668</v>
      </c>
      <c r="L14" s="74">
        <f t="shared" si="0"/>
        <v>34.95793179317932</v>
      </c>
      <c r="M14" s="74">
        <f t="shared" si="3"/>
        <v>34.85888925073273</v>
      </c>
      <c r="N14" s="71">
        <v>25245</v>
      </c>
      <c r="O14" s="71">
        <v>24166</v>
      </c>
      <c r="P14" s="71">
        <v>27361</v>
      </c>
      <c r="Q14" s="71">
        <v>28311</v>
      </c>
      <c r="R14" s="71">
        <f t="shared" si="4"/>
        <v>316.81746031746036</v>
      </c>
      <c r="S14" s="71">
        <f t="shared" si="5"/>
        <v>65898.03174603176</v>
      </c>
      <c r="T14" s="71">
        <f t="shared" si="6"/>
        <v>1267.2698412698414</v>
      </c>
      <c r="U14" s="71">
        <f t="shared" si="7"/>
        <v>1584.0873015873017</v>
      </c>
      <c r="V14" s="71">
        <f t="shared" si="8"/>
        <v>950.45238095238108</v>
      </c>
      <c r="W14" s="71">
        <f t="shared" si="9"/>
        <v>0</v>
      </c>
      <c r="X14" s="71">
        <f t="shared" si="10"/>
        <v>2376.1309523809527</v>
      </c>
      <c r="Y14" s="71">
        <f t="shared" si="11"/>
        <v>8712.480158730159</v>
      </c>
      <c r="Z14" s="71">
        <f t="shared" si="12"/>
        <v>633.63492063492072</v>
      </c>
      <c r="AA14" s="71">
        <f t="shared" si="13"/>
        <v>1584.0873015873017</v>
      </c>
      <c r="AB14" s="71">
        <f t="shared" si="14"/>
        <v>633.63492063492072</v>
      </c>
      <c r="AC14" s="71">
        <f t="shared" si="15"/>
        <v>2851.3571428571431</v>
      </c>
      <c r="AD14" s="71">
        <f t="shared" si="16"/>
        <v>86491.166666666701</v>
      </c>
      <c r="AE14" s="71">
        <f t="shared" si="17"/>
        <v>5319.2067500000021</v>
      </c>
      <c r="AF14" s="75">
        <f t="shared" si="18"/>
        <v>319352</v>
      </c>
      <c r="AG14" s="78">
        <v>6.1499999999999999E-2</v>
      </c>
      <c r="AH14" s="113"/>
      <c r="AI14" s="112"/>
    </row>
    <row r="15" spans="1:37" ht="25.5">
      <c r="A15" s="79">
        <v>11</v>
      </c>
      <c r="B15" s="77" t="s">
        <v>135</v>
      </c>
      <c r="C15" s="77" t="s">
        <v>136</v>
      </c>
      <c r="D15" s="69">
        <v>760232</v>
      </c>
      <c r="E15" s="69">
        <f t="shared" si="19"/>
        <v>760232</v>
      </c>
      <c r="F15" s="69"/>
      <c r="G15" s="70">
        <v>1099126</v>
      </c>
      <c r="H15" s="71">
        <f t="shared" si="1"/>
        <v>13084.833333333334</v>
      </c>
      <c r="I15" s="71"/>
      <c r="J15" s="72">
        <v>115100</v>
      </c>
      <c r="K15" s="73">
        <f t="shared" si="2"/>
        <v>112927.33333333333</v>
      </c>
      <c r="L15" s="74">
        <f t="shared" si="0"/>
        <v>6.6049695916594269</v>
      </c>
      <c r="M15" s="74">
        <f t="shared" si="3"/>
        <v>9.7330377646982438</v>
      </c>
      <c r="N15" s="71">
        <v>107252</v>
      </c>
      <c r="O15" s="71">
        <v>107030</v>
      </c>
      <c r="P15" s="71">
        <v>117604</v>
      </c>
      <c r="Q15" s="71">
        <v>114148</v>
      </c>
      <c r="R15" s="71">
        <f t="shared" si="4"/>
        <v>1344.3730158730159</v>
      </c>
      <c r="S15" s="71">
        <f t="shared" si="5"/>
        <v>279629.58730158734</v>
      </c>
      <c r="T15" s="71">
        <f t="shared" si="6"/>
        <v>5377.4920634920636</v>
      </c>
      <c r="U15" s="71">
        <f t="shared" si="7"/>
        <v>6721.8650793650795</v>
      </c>
      <c r="V15" s="71">
        <f t="shared" si="8"/>
        <v>4033.1190476190477</v>
      </c>
      <c r="W15" s="71">
        <f t="shared" si="9"/>
        <v>0</v>
      </c>
      <c r="X15" s="71">
        <f t="shared" si="10"/>
        <v>10082.797619047618</v>
      </c>
      <c r="Y15" s="71">
        <f t="shared" si="11"/>
        <v>36970.257936507936</v>
      </c>
      <c r="Z15" s="71">
        <f t="shared" si="12"/>
        <v>2688.7460317460318</v>
      </c>
      <c r="AA15" s="71">
        <f t="shared" si="13"/>
        <v>6721.8650793650795</v>
      </c>
      <c r="AB15" s="71">
        <f t="shared" si="14"/>
        <v>2688.7460317460318</v>
      </c>
      <c r="AC15" s="71">
        <f t="shared" si="15"/>
        <v>12099.357142857143</v>
      </c>
      <c r="AD15" s="71">
        <f t="shared" si="16"/>
        <v>367013.83333333343</v>
      </c>
      <c r="AE15" s="71">
        <f t="shared" si="17"/>
        <v>44225.166916666676</v>
      </c>
      <c r="AF15" s="75">
        <f t="shared" si="18"/>
        <v>1355128</v>
      </c>
      <c r="AG15" s="78">
        <v>0.1205</v>
      </c>
      <c r="AH15" s="113"/>
      <c r="AI15" s="112"/>
    </row>
    <row r="16" spans="1:37" ht="25.5">
      <c r="A16" s="133">
        <v>12</v>
      </c>
      <c r="B16" s="77" t="s">
        <v>137</v>
      </c>
      <c r="C16" s="77" t="s">
        <v>138</v>
      </c>
      <c r="D16" s="69">
        <v>362100</v>
      </c>
      <c r="E16" s="69">
        <f t="shared" si="19"/>
        <v>362100</v>
      </c>
      <c r="F16" s="69"/>
      <c r="G16" s="70">
        <v>562233</v>
      </c>
      <c r="H16" s="71">
        <f t="shared" si="1"/>
        <v>6693.25</v>
      </c>
      <c r="I16" s="71"/>
      <c r="J16" s="72">
        <v>79756</v>
      </c>
      <c r="K16" s="73">
        <f t="shared" si="2"/>
        <v>77646.666666666672</v>
      </c>
      <c r="L16" s="74">
        <f t="shared" si="0"/>
        <v>4.5400972967551034</v>
      </c>
      <c r="M16" s="74">
        <f t="shared" si="3"/>
        <v>7.2409161157379582</v>
      </c>
      <c r="N16" s="71">
        <v>89377</v>
      </c>
      <c r="O16" s="71">
        <v>15497</v>
      </c>
      <c r="P16" s="71">
        <v>88710</v>
      </c>
      <c r="Q16" s="71">
        <v>128733</v>
      </c>
      <c r="R16" s="71">
        <f t="shared" si="4"/>
        <v>924.3650793650794</v>
      </c>
      <c r="S16" s="71">
        <f t="shared" si="5"/>
        <v>192267.93650793651</v>
      </c>
      <c r="T16" s="71">
        <f t="shared" si="6"/>
        <v>3697.4603174603176</v>
      </c>
      <c r="U16" s="71">
        <f t="shared" si="7"/>
        <v>4621.8253968253966</v>
      </c>
      <c r="V16" s="71">
        <f t="shared" si="8"/>
        <v>2773.0952380952381</v>
      </c>
      <c r="W16" s="71">
        <f t="shared" si="9"/>
        <v>0</v>
      </c>
      <c r="X16" s="71">
        <f t="shared" si="10"/>
        <v>6932.7380952380954</v>
      </c>
      <c r="Y16" s="71">
        <f t="shared" si="11"/>
        <v>25420.039682539682</v>
      </c>
      <c r="Z16" s="71">
        <f t="shared" si="12"/>
        <v>1848.7301587301588</v>
      </c>
      <c r="AA16" s="71">
        <f t="shared" si="13"/>
        <v>4621.8253968253966</v>
      </c>
      <c r="AB16" s="71">
        <f t="shared" si="14"/>
        <v>1848.7301587301588</v>
      </c>
      <c r="AC16" s="71">
        <f t="shared" si="15"/>
        <v>8319.2857142857138</v>
      </c>
      <c r="AD16" s="71">
        <f t="shared" si="16"/>
        <v>252351.66666666663</v>
      </c>
      <c r="AE16" s="71">
        <f t="shared" si="17"/>
        <v>22711.649999999994</v>
      </c>
      <c r="AF16" s="75">
        <f t="shared" si="18"/>
        <v>931760</v>
      </c>
      <c r="AG16" s="78">
        <v>0.09</v>
      </c>
      <c r="AH16" s="113"/>
      <c r="AI16" s="112"/>
    </row>
    <row r="17" spans="1:35" ht="25.5">
      <c r="A17" s="134"/>
      <c r="B17" s="77" t="s">
        <v>139</v>
      </c>
      <c r="C17" s="77" t="s">
        <v>139</v>
      </c>
      <c r="D17" s="69">
        <v>1491474</v>
      </c>
      <c r="E17" s="69">
        <f t="shared" si="19"/>
        <v>1491474</v>
      </c>
      <c r="F17" s="69"/>
      <c r="G17" s="70">
        <v>1846371</v>
      </c>
      <c r="H17" s="71">
        <f t="shared" si="1"/>
        <v>21980.607142857141</v>
      </c>
      <c r="I17" s="71"/>
      <c r="J17" s="72">
        <v>186666</v>
      </c>
      <c r="K17" s="73">
        <f t="shared" si="2"/>
        <v>127253</v>
      </c>
      <c r="L17" s="74">
        <f t="shared" si="0"/>
        <v>7.9900678216707917</v>
      </c>
      <c r="M17" s="74">
        <f t="shared" si="3"/>
        <v>14.509449678985957</v>
      </c>
      <c r="N17" s="71">
        <v>0</v>
      </c>
      <c r="O17" s="71">
        <v>199313</v>
      </c>
      <c r="P17" s="71">
        <v>138489</v>
      </c>
      <c r="Q17" s="71">
        <v>43957</v>
      </c>
      <c r="R17" s="71">
        <f t="shared" si="4"/>
        <v>1514.9166666666667</v>
      </c>
      <c r="S17" s="71">
        <f t="shared" si="5"/>
        <v>315102.66666666669</v>
      </c>
      <c r="T17" s="71">
        <f t="shared" si="6"/>
        <v>6059.666666666667</v>
      </c>
      <c r="U17" s="71">
        <f t="shared" si="7"/>
        <v>7574.5833333333339</v>
      </c>
      <c r="V17" s="71">
        <f t="shared" si="8"/>
        <v>4544.75</v>
      </c>
      <c r="W17" s="71">
        <f t="shared" si="9"/>
        <v>0</v>
      </c>
      <c r="X17" s="71">
        <f t="shared" si="10"/>
        <v>11361.875</v>
      </c>
      <c r="Y17" s="71">
        <f t="shared" si="11"/>
        <v>41660.208333333336</v>
      </c>
      <c r="Z17" s="71">
        <f t="shared" si="12"/>
        <v>3029.8333333333335</v>
      </c>
      <c r="AA17" s="71">
        <f t="shared" si="13"/>
        <v>7574.5833333333339</v>
      </c>
      <c r="AB17" s="71">
        <f t="shared" si="14"/>
        <v>3029.8333333333335</v>
      </c>
      <c r="AC17" s="71">
        <f t="shared" si="15"/>
        <v>13634.25</v>
      </c>
      <c r="AD17" s="71">
        <f t="shared" si="16"/>
        <v>413572.24999999994</v>
      </c>
      <c r="AE17" s="71">
        <f t="shared" si="17"/>
        <v>43425.086249999993</v>
      </c>
      <c r="AF17" s="75">
        <f t="shared" si="18"/>
        <v>1527036</v>
      </c>
      <c r="AG17" s="78">
        <v>0.105</v>
      </c>
      <c r="AH17" s="113"/>
      <c r="AI17" s="112"/>
    </row>
    <row r="18" spans="1:35" ht="25.5">
      <c r="A18" s="135"/>
      <c r="B18" s="77" t="s">
        <v>140</v>
      </c>
      <c r="C18" s="77" t="s">
        <v>141</v>
      </c>
      <c r="D18" s="69">
        <v>400071</v>
      </c>
      <c r="E18" s="69">
        <f t="shared" si="19"/>
        <v>400071</v>
      </c>
      <c r="F18" s="69"/>
      <c r="G18" s="70">
        <v>452838</v>
      </c>
      <c r="H18" s="71">
        <f t="shared" si="1"/>
        <v>5390.9285714285716</v>
      </c>
      <c r="I18" s="71"/>
      <c r="J18" s="72">
        <v>27240</v>
      </c>
      <c r="K18" s="73">
        <f t="shared" si="2"/>
        <v>12011</v>
      </c>
      <c r="L18" s="74">
        <f t="shared" si="0"/>
        <v>14.686894273127754</v>
      </c>
      <c r="M18" s="74">
        <f t="shared" si="3"/>
        <v>37.701939888435604</v>
      </c>
      <c r="N18" s="71">
        <v>0</v>
      </c>
      <c r="O18" s="71">
        <v>10407</v>
      </c>
      <c r="P18" s="71">
        <v>11936</v>
      </c>
      <c r="Q18" s="71">
        <v>13690</v>
      </c>
      <c r="R18" s="71">
        <f t="shared" si="4"/>
        <v>142.98809523809524</v>
      </c>
      <c r="S18" s="71">
        <f t="shared" si="5"/>
        <v>29741.523809523809</v>
      </c>
      <c r="T18" s="71">
        <f t="shared" si="6"/>
        <v>571.95238095238096</v>
      </c>
      <c r="U18" s="71">
        <f t="shared" si="7"/>
        <v>714.94047619047615</v>
      </c>
      <c r="V18" s="71">
        <f t="shared" si="8"/>
        <v>428.96428571428572</v>
      </c>
      <c r="W18" s="71">
        <f t="shared" si="9"/>
        <v>0</v>
      </c>
      <c r="X18" s="71">
        <f t="shared" si="10"/>
        <v>1072.4107142857142</v>
      </c>
      <c r="Y18" s="71">
        <f t="shared" si="11"/>
        <v>3932.1726190476188</v>
      </c>
      <c r="Z18" s="71">
        <f t="shared" si="12"/>
        <v>285.97619047619048</v>
      </c>
      <c r="AA18" s="71">
        <f t="shared" si="13"/>
        <v>714.94047619047615</v>
      </c>
      <c r="AB18" s="71">
        <f t="shared" si="14"/>
        <v>285.97619047619048</v>
      </c>
      <c r="AC18" s="71">
        <f t="shared" si="15"/>
        <v>1286.8928571428571</v>
      </c>
      <c r="AD18" s="71">
        <f t="shared" si="16"/>
        <v>39035.75</v>
      </c>
      <c r="AE18" s="71">
        <f t="shared" si="17"/>
        <v>9134.3654999999999</v>
      </c>
      <c r="AF18" s="75">
        <f t="shared" si="18"/>
        <v>144132</v>
      </c>
      <c r="AG18" s="78">
        <v>0.23400000000000001</v>
      </c>
      <c r="AH18" s="113"/>
      <c r="AI18" s="112"/>
    </row>
    <row r="19" spans="1:35" ht="63.75">
      <c r="A19" s="133">
        <v>13</v>
      </c>
      <c r="B19" s="82" t="s">
        <v>142</v>
      </c>
      <c r="C19" s="77" t="s">
        <v>143</v>
      </c>
      <c r="D19" s="69">
        <v>678750</v>
      </c>
      <c r="E19" s="69">
        <f t="shared" si="19"/>
        <v>678750</v>
      </c>
      <c r="F19" s="69"/>
      <c r="G19" s="70">
        <v>833685</v>
      </c>
      <c r="H19" s="71">
        <f t="shared" si="1"/>
        <v>9924.8214285714294</v>
      </c>
      <c r="I19" s="71"/>
      <c r="J19" s="72">
        <v>0</v>
      </c>
      <c r="K19" s="70">
        <v>21402</v>
      </c>
      <c r="L19" s="74" t="e">
        <f t="shared" si="0"/>
        <v>#DIV/0!</v>
      </c>
      <c r="M19" s="74">
        <f t="shared" si="3"/>
        <v>38.953602467059156</v>
      </c>
      <c r="N19" s="71"/>
      <c r="O19" s="71">
        <v>0</v>
      </c>
      <c r="P19" s="71">
        <v>9963</v>
      </c>
      <c r="Q19" s="71">
        <v>21402</v>
      </c>
      <c r="R19" s="71">
        <f t="shared" si="4"/>
        <v>254.78571428571428</v>
      </c>
      <c r="S19" s="71">
        <f t="shared" si="5"/>
        <v>52995.428571428572</v>
      </c>
      <c r="T19" s="71">
        <f t="shared" si="6"/>
        <v>1019.1428571428571</v>
      </c>
      <c r="U19" s="71">
        <f t="shared" si="7"/>
        <v>1273.9285714285713</v>
      </c>
      <c r="V19" s="71">
        <f t="shared" si="8"/>
        <v>764.35714285714289</v>
      </c>
      <c r="W19" s="71">
        <f t="shared" si="9"/>
        <v>0</v>
      </c>
      <c r="X19" s="71">
        <f t="shared" si="10"/>
        <v>1910.8928571428573</v>
      </c>
      <c r="Y19" s="71">
        <f t="shared" si="11"/>
        <v>7006.6071428571422</v>
      </c>
      <c r="Z19" s="71">
        <f t="shared" si="12"/>
        <v>509.57142857142856</v>
      </c>
      <c r="AA19" s="71">
        <f t="shared" si="13"/>
        <v>1273.9285714285713</v>
      </c>
      <c r="AB19" s="71">
        <f t="shared" si="14"/>
        <v>509.57142857142856</v>
      </c>
      <c r="AC19" s="71">
        <f t="shared" si="15"/>
        <v>2293.0714285714284</v>
      </c>
      <c r="AD19" s="71">
        <f t="shared" si="16"/>
        <v>69556.500000000015</v>
      </c>
      <c r="AE19" s="71">
        <f t="shared" si="17"/>
        <v>21979.854000000003</v>
      </c>
      <c r="AF19" s="75">
        <f t="shared" si="18"/>
        <v>256824</v>
      </c>
      <c r="AG19" s="78">
        <v>0.316</v>
      </c>
      <c r="AH19" s="113"/>
      <c r="AI19" s="112"/>
    </row>
    <row r="20" spans="1:35" ht="63.75">
      <c r="A20" s="135"/>
      <c r="B20" s="82" t="s">
        <v>144</v>
      </c>
      <c r="C20" s="77" t="s">
        <v>145</v>
      </c>
      <c r="D20" s="69">
        <v>711780</v>
      </c>
      <c r="E20" s="69">
        <f t="shared" si="19"/>
        <v>711780</v>
      </c>
      <c r="F20" s="69"/>
      <c r="G20" s="70">
        <v>1017373</v>
      </c>
      <c r="H20" s="71">
        <f t="shared" si="1"/>
        <v>12111.583333333334</v>
      </c>
      <c r="I20" s="71"/>
      <c r="J20" s="72">
        <v>0</v>
      </c>
      <c r="K20" s="70">
        <v>37794</v>
      </c>
      <c r="L20" s="74" t="e">
        <f t="shared" si="0"/>
        <v>#DIV/0!</v>
      </c>
      <c r="M20" s="74">
        <f t="shared" si="3"/>
        <v>26.918902471291741</v>
      </c>
      <c r="N20" s="71"/>
      <c r="O20" s="71">
        <v>92</v>
      </c>
      <c r="P20" s="71">
        <v>18621</v>
      </c>
      <c r="Q20" s="71">
        <v>37794</v>
      </c>
      <c r="R20" s="71">
        <f t="shared" si="4"/>
        <v>449.92857142857144</v>
      </c>
      <c r="S20" s="71">
        <f t="shared" si="5"/>
        <v>93585.142857142855</v>
      </c>
      <c r="T20" s="71">
        <f t="shared" si="6"/>
        <v>1799.7142857142858</v>
      </c>
      <c r="U20" s="71">
        <f t="shared" si="7"/>
        <v>2249.6428571428573</v>
      </c>
      <c r="V20" s="71">
        <f t="shared" si="8"/>
        <v>1349.7857142857142</v>
      </c>
      <c r="W20" s="71">
        <f t="shared" si="9"/>
        <v>0</v>
      </c>
      <c r="X20" s="71">
        <f t="shared" si="10"/>
        <v>3374.4642857142853</v>
      </c>
      <c r="Y20" s="71">
        <f t="shared" si="11"/>
        <v>12373.035714285716</v>
      </c>
      <c r="Z20" s="71">
        <f t="shared" si="12"/>
        <v>899.85714285714289</v>
      </c>
      <c r="AA20" s="71">
        <f t="shared" si="13"/>
        <v>2249.6428571428573</v>
      </c>
      <c r="AB20" s="71">
        <f t="shared" si="14"/>
        <v>899.85714285714289</v>
      </c>
      <c r="AC20" s="71">
        <f t="shared" si="15"/>
        <v>4049.3571428571431</v>
      </c>
      <c r="AD20" s="71">
        <f t="shared" si="16"/>
        <v>122830.5</v>
      </c>
      <c r="AE20" s="71">
        <f t="shared" si="17"/>
        <v>46675.590000000004</v>
      </c>
      <c r="AF20" s="75">
        <f t="shared" si="18"/>
        <v>453528</v>
      </c>
      <c r="AG20" s="78">
        <v>0.38</v>
      </c>
      <c r="AH20" s="113"/>
      <c r="AI20" s="112"/>
    </row>
    <row r="21" spans="1:35" ht="51">
      <c r="A21" s="79">
        <v>14</v>
      </c>
      <c r="B21" s="82" t="s">
        <v>146</v>
      </c>
      <c r="C21" s="77" t="s">
        <v>147</v>
      </c>
      <c r="D21" s="69">
        <v>1823440</v>
      </c>
      <c r="E21" s="69">
        <f t="shared" si="19"/>
        <v>1823440</v>
      </c>
      <c r="F21" s="69"/>
      <c r="G21" s="70">
        <v>1980360</v>
      </c>
      <c r="H21" s="71">
        <f t="shared" si="1"/>
        <v>23575.714285714286</v>
      </c>
      <c r="I21" s="71"/>
      <c r="J21" s="72">
        <v>61324</v>
      </c>
      <c r="K21" s="70">
        <v>102410</v>
      </c>
      <c r="L21" s="74">
        <f t="shared" si="0"/>
        <v>29.734524818994196</v>
      </c>
      <c r="M21" s="74">
        <f t="shared" si="3"/>
        <v>19.337564690948149</v>
      </c>
      <c r="N21" s="71"/>
      <c r="O21" s="71">
        <v>14476</v>
      </c>
      <c r="P21" s="71">
        <v>64466</v>
      </c>
      <c r="Q21" s="71">
        <v>102410</v>
      </c>
      <c r="R21" s="71">
        <f t="shared" si="4"/>
        <v>1219.1666666666667</v>
      </c>
      <c r="S21" s="71">
        <f t="shared" si="5"/>
        <v>253586.66666666669</v>
      </c>
      <c r="T21" s="71">
        <f t="shared" si="6"/>
        <v>4876.666666666667</v>
      </c>
      <c r="U21" s="71">
        <f t="shared" si="7"/>
        <v>6095.8333333333339</v>
      </c>
      <c r="V21" s="71">
        <f t="shared" si="8"/>
        <v>3657.5</v>
      </c>
      <c r="W21" s="71">
        <f t="shared" si="9"/>
        <v>0</v>
      </c>
      <c r="X21" s="71">
        <f t="shared" si="10"/>
        <v>9143.75</v>
      </c>
      <c r="Y21" s="71">
        <f t="shared" si="11"/>
        <v>33527.083333333336</v>
      </c>
      <c r="Z21" s="71">
        <f t="shared" si="12"/>
        <v>2438.3333333333335</v>
      </c>
      <c r="AA21" s="71">
        <f t="shared" si="13"/>
        <v>6095.8333333333339</v>
      </c>
      <c r="AB21" s="71">
        <f t="shared" si="14"/>
        <v>2438.3333333333335</v>
      </c>
      <c r="AC21" s="71">
        <f t="shared" si="15"/>
        <v>10972.5</v>
      </c>
      <c r="AD21" s="71">
        <f t="shared" si="16"/>
        <v>332832.49999999994</v>
      </c>
      <c r="AE21" s="71">
        <f t="shared" si="17"/>
        <v>22466.193749999999</v>
      </c>
      <c r="AF21" s="75">
        <f t="shared" si="18"/>
        <v>1228920</v>
      </c>
      <c r="AG21" s="78">
        <v>6.7500000000000004E-2</v>
      </c>
      <c r="AH21" s="113"/>
      <c r="AI21" s="112"/>
    </row>
    <row r="22" spans="1:35" ht="25.5">
      <c r="A22" s="79">
        <v>15</v>
      </c>
      <c r="B22" s="82" t="s">
        <v>148</v>
      </c>
      <c r="C22" s="77" t="s">
        <v>149</v>
      </c>
      <c r="D22" s="69">
        <v>1500870</v>
      </c>
      <c r="E22" s="69">
        <f t="shared" si="19"/>
        <v>1500870</v>
      </c>
      <c r="F22" s="69"/>
      <c r="G22" s="70">
        <v>1620236</v>
      </c>
      <c r="H22" s="71">
        <f t="shared" si="1"/>
        <v>19288.523809523809</v>
      </c>
      <c r="I22" s="71"/>
      <c r="J22" s="72">
        <v>9000</v>
      </c>
      <c r="K22" s="70">
        <v>36603</v>
      </c>
      <c r="L22" s="74">
        <f t="shared" si="0"/>
        <v>166.76333333333332</v>
      </c>
      <c r="M22" s="74">
        <f t="shared" si="3"/>
        <v>44.265114881293883</v>
      </c>
      <c r="N22" s="71"/>
      <c r="O22" s="71">
        <v>152</v>
      </c>
      <c r="P22" s="71">
        <v>19619</v>
      </c>
      <c r="Q22" s="71">
        <v>36603</v>
      </c>
      <c r="R22" s="71">
        <f t="shared" si="4"/>
        <v>435.75</v>
      </c>
      <c r="S22" s="71">
        <f t="shared" si="5"/>
        <v>90636</v>
      </c>
      <c r="T22" s="71">
        <f t="shared" si="6"/>
        <v>1743</v>
      </c>
      <c r="U22" s="71">
        <f t="shared" si="7"/>
        <v>2178.75</v>
      </c>
      <c r="V22" s="71">
        <f t="shared" si="8"/>
        <v>1307.25</v>
      </c>
      <c r="W22" s="71">
        <f t="shared" si="9"/>
        <v>0</v>
      </c>
      <c r="X22" s="71">
        <f t="shared" si="10"/>
        <v>3268.125</v>
      </c>
      <c r="Y22" s="71">
        <f t="shared" si="11"/>
        <v>11983.125</v>
      </c>
      <c r="Z22" s="71">
        <f t="shared" si="12"/>
        <v>871.5</v>
      </c>
      <c r="AA22" s="71">
        <f t="shared" si="13"/>
        <v>2178.75</v>
      </c>
      <c r="AB22" s="71">
        <f t="shared" si="14"/>
        <v>871.5</v>
      </c>
      <c r="AC22" s="71">
        <f t="shared" si="15"/>
        <v>3921.75</v>
      </c>
      <c r="AD22" s="71">
        <f t="shared" si="16"/>
        <v>118959.75</v>
      </c>
      <c r="AE22" s="71">
        <f t="shared" si="17"/>
        <v>7137.585</v>
      </c>
      <c r="AF22" s="75">
        <f t="shared" si="18"/>
        <v>439236</v>
      </c>
      <c r="AG22" s="78">
        <v>0.06</v>
      </c>
      <c r="AH22" s="113"/>
      <c r="AI22" s="112"/>
    </row>
    <row r="23" spans="1:35" ht="38.25">
      <c r="A23" s="79">
        <v>16</v>
      </c>
      <c r="B23" s="82" t="s">
        <v>150</v>
      </c>
      <c r="C23" s="82" t="s">
        <v>151</v>
      </c>
      <c r="D23" s="69">
        <f>615081+1173900</f>
        <v>1788981</v>
      </c>
      <c r="E23" s="69">
        <f t="shared" si="19"/>
        <v>1788981</v>
      </c>
      <c r="F23" s="69"/>
      <c r="G23" s="70">
        <v>1920162</v>
      </c>
      <c r="H23" s="71">
        <f t="shared" si="1"/>
        <v>22859.071428571428</v>
      </c>
      <c r="I23" s="71"/>
      <c r="J23" s="72">
        <v>16700</v>
      </c>
      <c r="K23" s="70">
        <v>35141</v>
      </c>
      <c r="L23" s="74">
        <f t="shared" si="0"/>
        <v>107.12461077844311</v>
      </c>
      <c r="M23" s="74">
        <f t="shared" si="3"/>
        <v>54.641643664096073</v>
      </c>
      <c r="N23" s="71"/>
      <c r="O23" s="71">
        <v>5620</v>
      </c>
      <c r="P23" s="71">
        <v>23666</v>
      </c>
      <c r="Q23" s="71">
        <v>35141</v>
      </c>
      <c r="R23" s="71">
        <f t="shared" si="4"/>
        <v>418.34523809523807</v>
      </c>
      <c r="S23" s="71">
        <f t="shared" si="5"/>
        <v>87015.809523809527</v>
      </c>
      <c r="T23" s="71">
        <f t="shared" si="6"/>
        <v>1673.3809523809523</v>
      </c>
      <c r="U23" s="71">
        <f t="shared" si="7"/>
        <v>2091.7261904761904</v>
      </c>
      <c r="V23" s="71">
        <f t="shared" si="8"/>
        <v>1255.0357142857142</v>
      </c>
      <c r="W23" s="71">
        <f t="shared" si="9"/>
        <v>0</v>
      </c>
      <c r="X23" s="71">
        <f t="shared" si="10"/>
        <v>3137.5892857142853</v>
      </c>
      <c r="Y23" s="71">
        <f t="shared" si="11"/>
        <v>11504.494047619048</v>
      </c>
      <c r="Z23" s="71">
        <f t="shared" si="12"/>
        <v>836.69047619047615</v>
      </c>
      <c r="AA23" s="71">
        <f t="shared" si="13"/>
        <v>2091.7261904761904</v>
      </c>
      <c r="AB23" s="71">
        <f t="shared" si="14"/>
        <v>836.69047619047615</v>
      </c>
      <c r="AC23" s="71">
        <f t="shared" si="15"/>
        <v>3765.1071428571427</v>
      </c>
      <c r="AD23" s="71">
        <f t="shared" si="16"/>
        <v>114208.24999999999</v>
      </c>
      <c r="AE23" s="71">
        <f t="shared" si="17"/>
        <v>17017.029249999996</v>
      </c>
      <c r="AF23" s="75">
        <f t="shared" si="18"/>
        <v>421692</v>
      </c>
      <c r="AG23" s="78">
        <v>0.14899999999999999</v>
      </c>
      <c r="AH23" s="113"/>
      <c r="AI23" s="112"/>
    </row>
    <row r="24" spans="1:35" ht="76.5">
      <c r="A24" s="133">
        <v>17</v>
      </c>
      <c r="B24" s="82" t="s">
        <v>152</v>
      </c>
      <c r="C24" s="77" t="s">
        <v>153</v>
      </c>
      <c r="D24" s="69">
        <v>15041575</v>
      </c>
      <c r="E24" s="69">
        <f t="shared" si="19"/>
        <v>15041575</v>
      </c>
      <c r="F24" s="69"/>
      <c r="G24" s="70">
        <v>20783209</v>
      </c>
      <c r="H24" s="71">
        <f t="shared" si="1"/>
        <v>247419.15476190476</v>
      </c>
      <c r="I24" s="71"/>
      <c r="J24" s="83">
        <v>0</v>
      </c>
      <c r="K24" s="70">
        <v>131581</v>
      </c>
      <c r="L24" s="74" t="e">
        <f t="shared" si="0"/>
        <v>#DIV/0!</v>
      </c>
      <c r="M24" s="74">
        <f t="shared" si="3"/>
        <v>157.94992438117964</v>
      </c>
      <c r="N24" s="71"/>
      <c r="O24" s="71">
        <v>16901</v>
      </c>
      <c r="P24" s="71">
        <v>84884</v>
      </c>
      <c r="Q24" s="71">
        <v>131581</v>
      </c>
      <c r="R24" s="71">
        <f t="shared" si="4"/>
        <v>1566.4404761904761</v>
      </c>
      <c r="S24" s="71">
        <f t="shared" si="5"/>
        <v>325819.61904761905</v>
      </c>
      <c r="T24" s="71">
        <f t="shared" si="6"/>
        <v>6265.7619047619046</v>
      </c>
      <c r="U24" s="71">
        <f t="shared" si="7"/>
        <v>7832.2023809523807</v>
      </c>
      <c r="V24" s="71">
        <f t="shared" si="8"/>
        <v>4699.3214285714284</v>
      </c>
      <c r="W24" s="71">
        <f t="shared" si="9"/>
        <v>0</v>
      </c>
      <c r="X24" s="71">
        <f t="shared" si="10"/>
        <v>11748.303571428571</v>
      </c>
      <c r="Y24" s="71">
        <f t="shared" si="11"/>
        <v>43077.113095238092</v>
      </c>
      <c r="Z24" s="71">
        <f t="shared" si="12"/>
        <v>3132.8809523809523</v>
      </c>
      <c r="AA24" s="71">
        <f t="shared" si="13"/>
        <v>7832.2023809523807</v>
      </c>
      <c r="AB24" s="71">
        <f t="shared" si="14"/>
        <v>3132.8809523809523</v>
      </c>
      <c r="AC24" s="71">
        <f t="shared" si="15"/>
        <v>14097.964285714286</v>
      </c>
      <c r="AD24" s="71">
        <f t="shared" si="16"/>
        <v>427638.24999999994</v>
      </c>
      <c r="AE24" s="71">
        <f t="shared" si="17"/>
        <v>30832.717824999996</v>
      </c>
      <c r="AF24" s="75">
        <f t="shared" si="18"/>
        <v>1578972</v>
      </c>
      <c r="AG24" s="84">
        <v>7.2099999999999997E-2</v>
      </c>
      <c r="AH24" s="113"/>
      <c r="AI24" s="112"/>
    </row>
    <row r="25" spans="1:35" ht="76.5">
      <c r="A25" s="135"/>
      <c r="B25" s="82" t="s">
        <v>154</v>
      </c>
      <c r="C25" s="77" t="s">
        <v>155</v>
      </c>
      <c r="D25" s="69">
        <v>1765665</v>
      </c>
      <c r="E25" s="69">
        <f t="shared" si="19"/>
        <v>1765665</v>
      </c>
      <c r="F25" s="69"/>
      <c r="G25" s="70">
        <v>4716444</v>
      </c>
      <c r="H25" s="71">
        <f t="shared" si="1"/>
        <v>56148.142857142855</v>
      </c>
      <c r="I25" s="71"/>
      <c r="J25" s="83">
        <v>0</v>
      </c>
      <c r="K25" s="70">
        <v>19185</v>
      </c>
      <c r="L25" s="74" t="e">
        <f t="shared" si="0"/>
        <v>#DIV/0!</v>
      </c>
      <c r="M25" s="74">
        <f t="shared" si="3"/>
        <v>245.84018764659891</v>
      </c>
      <c r="N25" s="71"/>
      <c r="O25" s="71">
        <v>2114</v>
      </c>
      <c r="P25" s="71">
        <v>15922</v>
      </c>
      <c r="Q25" s="71">
        <v>19185</v>
      </c>
      <c r="R25" s="71">
        <f t="shared" si="4"/>
        <v>228.39285714285714</v>
      </c>
      <c r="S25" s="71">
        <f t="shared" si="5"/>
        <v>47505.714285714283</v>
      </c>
      <c r="T25" s="71">
        <f t="shared" si="6"/>
        <v>913.57142857142856</v>
      </c>
      <c r="U25" s="71">
        <f t="shared" si="7"/>
        <v>1141.9642857142858</v>
      </c>
      <c r="V25" s="71">
        <f t="shared" si="8"/>
        <v>685.17857142857144</v>
      </c>
      <c r="W25" s="71">
        <f t="shared" si="9"/>
        <v>0</v>
      </c>
      <c r="X25" s="71">
        <f t="shared" si="10"/>
        <v>1712.9464285714287</v>
      </c>
      <c r="Y25" s="71">
        <f t="shared" si="11"/>
        <v>6280.8035714285716</v>
      </c>
      <c r="Z25" s="71">
        <f t="shared" si="12"/>
        <v>456.78571428571428</v>
      </c>
      <c r="AA25" s="71">
        <f t="shared" si="13"/>
        <v>1141.9642857142858</v>
      </c>
      <c r="AB25" s="71">
        <f t="shared" si="14"/>
        <v>456.78571428571428</v>
      </c>
      <c r="AC25" s="71">
        <f t="shared" si="15"/>
        <v>2055.5357142857142</v>
      </c>
      <c r="AD25" s="71">
        <f t="shared" si="16"/>
        <v>62351.25</v>
      </c>
      <c r="AE25" s="71">
        <f t="shared" si="17"/>
        <v>4988.1000000000004</v>
      </c>
      <c r="AF25" s="75">
        <f t="shared" si="18"/>
        <v>230220</v>
      </c>
      <c r="AG25" s="67">
        <v>0.08</v>
      </c>
      <c r="AH25" s="113"/>
      <c r="AI25" s="112"/>
    </row>
    <row r="26" spans="1:35" ht="25.5">
      <c r="A26" s="85">
        <v>18</v>
      </c>
      <c r="B26" s="86" t="s">
        <v>156</v>
      </c>
      <c r="C26" s="86" t="s">
        <v>157</v>
      </c>
      <c r="D26" s="69">
        <v>1394444</v>
      </c>
      <c r="E26" s="69">
        <f t="shared" si="19"/>
        <v>1394444</v>
      </c>
      <c r="F26" s="69"/>
      <c r="G26" s="70">
        <v>1972777</v>
      </c>
      <c r="H26" s="71">
        <f t="shared" si="1"/>
        <v>23485.440476190477</v>
      </c>
      <c r="I26" s="71"/>
      <c r="J26" s="83">
        <v>353640</v>
      </c>
      <c r="K26" s="73">
        <f t="shared" si="2"/>
        <v>398102.33333333331</v>
      </c>
      <c r="L26" s="74">
        <f t="shared" si="0"/>
        <v>3.9431172944237076</v>
      </c>
      <c r="M26" s="74">
        <f t="shared" si="3"/>
        <v>4.9554519901499363</v>
      </c>
      <c r="N26" s="87">
        <v>363351</v>
      </c>
      <c r="O26" s="87">
        <v>369403</v>
      </c>
      <c r="P26" s="87">
        <v>398024</v>
      </c>
      <c r="Q26" s="87">
        <v>426880</v>
      </c>
      <c r="R26" s="71">
        <f t="shared" si="4"/>
        <v>4739.313492063492</v>
      </c>
      <c r="S26" s="71">
        <f t="shared" si="5"/>
        <v>985777.20634920639</v>
      </c>
      <c r="T26" s="71">
        <f t="shared" si="6"/>
        <v>18957.253968253968</v>
      </c>
      <c r="U26" s="71">
        <f t="shared" si="7"/>
        <v>23696.567460317459</v>
      </c>
      <c r="V26" s="71">
        <f t="shared" si="8"/>
        <v>14217.940476190477</v>
      </c>
      <c r="W26" s="71">
        <f t="shared" si="9"/>
        <v>0</v>
      </c>
      <c r="X26" s="71">
        <f t="shared" si="10"/>
        <v>35544.851190476191</v>
      </c>
      <c r="Y26" s="71">
        <f t="shared" si="11"/>
        <v>130331.12103174602</v>
      </c>
      <c r="Z26" s="71">
        <f t="shared" si="12"/>
        <v>9478.6269841269841</v>
      </c>
      <c r="AA26" s="71">
        <f t="shared" si="13"/>
        <v>23696.567460317459</v>
      </c>
      <c r="AB26" s="71">
        <f t="shared" si="14"/>
        <v>9478.6269841269841</v>
      </c>
      <c r="AC26" s="71">
        <f t="shared" si="15"/>
        <v>42653.821428571428</v>
      </c>
      <c r="AD26" s="71">
        <f t="shared" si="16"/>
        <v>1293832.5833333335</v>
      </c>
      <c r="AE26" s="71">
        <f t="shared" si="17"/>
        <v>109328.85329166669</v>
      </c>
      <c r="AF26" s="75">
        <f t="shared" si="18"/>
        <v>4777228</v>
      </c>
      <c r="AG26" s="88">
        <v>8.4500000000000006E-2</v>
      </c>
      <c r="AH26" s="113"/>
      <c r="AI26" s="112"/>
    </row>
    <row r="27" spans="1:35" ht="38.25">
      <c r="A27" s="85">
        <v>19</v>
      </c>
      <c r="B27" s="86" t="s">
        <v>158</v>
      </c>
      <c r="C27" s="86" t="s">
        <v>159</v>
      </c>
      <c r="D27" s="69">
        <v>649870</v>
      </c>
      <c r="E27" s="69">
        <f>D27+J27*10</f>
        <v>3135970</v>
      </c>
      <c r="F27" s="69"/>
      <c r="G27" s="70">
        <v>1010305</v>
      </c>
      <c r="H27" s="71">
        <f t="shared" si="1"/>
        <v>12027.440476190477</v>
      </c>
      <c r="I27" s="71"/>
      <c r="J27" s="83">
        <v>248610</v>
      </c>
      <c r="K27" s="73">
        <f t="shared" si="2"/>
        <v>137546.33333333334</v>
      </c>
      <c r="L27" s="74">
        <f t="shared" si="0"/>
        <v>2.6140139173806363</v>
      </c>
      <c r="M27" s="74">
        <f t="shared" si="3"/>
        <v>7.3451976182571199</v>
      </c>
      <c r="N27" s="71">
        <v>97303</v>
      </c>
      <c r="O27" s="71">
        <v>102714</v>
      </c>
      <c r="P27" s="71">
        <v>167394</v>
      </c>
      <c r="Q27" s="71">
        <v>142531</v>
      </c>
      <c r="R27" s="71">
        <f t="shared" si="4"/>
        <v>1637.4563492063494</v>
      </c>
      <c r="S27" s="71">
        <f t="shared" si="5"/>
        <v>340590.92063492065</v>
      </c>
      <c r="T27" s="71">
        <f t="shared" si="6"/>
        <v>6549.8253968253975</v>
      </c>
      <c r="U27" s="71">
        <f t="shared" si="7"/>
        <v>8187.2817460317474</v>
      </c>
      <c r="V27" s="71">
        <f t="shared" si="8"/>
        <v>4912.3690476190477</v>
      </c>
      <c r="W27" s="71">
        <f t="shared" si="9"/>
        <v>0</v>
      </c>
      <c r="X27" s="71">
        <f t="shared" si="10"/>
        <v>12280.922619047618</v>
      </c>
      <c r="Y27" s="71">
        <f t="shared" si="11"/>
        <v>45030.049603174608</v>
      </c>
      <c r="Z27" s="71">
        <f t="shared" si="12"/>
        <v>3274.9126984126988</v>
      </c>
      <c r="AA27" s="71">
        <f t="shared" si="13"/>
        <v>8187.2817460317474</v>
      </c>
      <c r="AB27" s="71">
        <f t="shared" si="14"/>
        <v>3274.9126984126988</v>
      </c>
      <c r="AC27" s="71">
        <f t="shared" si="15"/>
        <v>14737.107142857145</v>
      </c>
      <c r="AD27" s="71">
        <f t="shared" si="16"/>
        <v>447025.58333333349</v>
      </c>
      <c r="AE27" s="71">
        <f t="shared" si="17"/>
        <v>50022.162775000019</v>
      </c>
      <c r="AF27" s="75">
        <f t="shared" si="18"/>
        <v>1650556</v>
      </c>
      <c r="AG27" s="89">
        <v>0.1119</v>
      </c>
      <c r="AH27" s="113"/>
      <c r="AI27" s="112"/>
    </row>
    <row r="28" spans="1:35" ht="25.5">
      <c r="A28" s="85">
        <v>20</v>
      </c>
      <c r="B28" s="86" t="s">
        <v>160</v>
      </c>
      <c r="C28" s="86" t="s">
        <v>161</v>
      </c>
      <c r="D28" s="69">
        <v>384017</v>
      </c>
      <c r="E28" s="69">
        <f>D28+J28*10</f>
        <v>1907117</v>
      </c>
      <c r="F28" s="69"/>
      <c r="G28" s="70">
        <v>670680</v>
      </c>
      <c r="H28" s="71">
        <f t="shared" si="1"/>
        <v>7984.2857142857147</v>
      </c>
      <c r="I28" s="71"/>
      <c r="J28" s="83">
        <v>152310</v>
      </c>
      <c r="K28" s="73">
        <f t="shared" si="2"/>
        <v>122750.66666666667</v>
      </c>
      <c r="L28" s="74">
        <f t="shared" si="0"/>
        <v>2.5212855360777362</v>
      </c>
      <c r="M28" s="74">
        <f t="shared" si="3"/>
        <v>5.4637585131920527</v>
      </c>
      <c r="N28" s="71">
        <v>103094</v>
      </c>
      <c r="O28" s="71">
        <v>103715</v>
      </c>
      <c r="P28" s="71">
        <v>136114</v>
      </c>
      <c r="Q28" s="71">
        <v>128423</v>
      </c>
      <c r="R28" s="71">
        <f t="shared" si="4"/>
        <v>1461.3174603174605</v>
      </c>
      <c r="S28" s="71">
        <f t="shared" si="5"/>
        <v>303954.03174603177</v>
      </c>
      <c r="T28" s="71">
        <f t="shared" si="6"/>
        <v>5845.2698412698419</v>
      </c>
      <c r="U28" s="71">
        <f t="shared" si="7"/>
        <v>7306.5873015873021</v>
      </c>
      <c r="V28" s="71">
        <f t="shared" si="8"/>
        <v>4383.9523809523816</v>
      </c>
      <c r="W28" s="71">
        <f t="shared" si="9"/>
        <v>0</v>
      </c>
      <c r="X28" s="71">
        <f t="shared" si="10"/>
        <v>10959.880952380954</v>
      </c>
      <c r="Y28" s="71">
        <f t="shared" si="11"/>
        <v>40186.230158730163</v>
      </c>
      <c r="Z28" s="71">
        <f t="shared" si="12"/>
        <v>2922.6349206349209</v>
      </c>
      <c r="AA28" s="71">
        <f t="shared" si="13"/>
        <v>7306.5873015873021</v>
      </c>
      <c r="AB28" s="71">
        <f t="shared" si="14"/>
        <v>2922.6349206349209</v>
      </c>
      <c r="AC28" s="71">
        <f t="shared" si="15"/>
        <v>13151.857142857145</v>
      </c>
      <c r="AD28" s="71">
        <f t="shared" si="16"/>
        <v>398939.66666666663</v>
      </c>
      <c r="AE28" s="71">
        <f t="shared" si="17"/>
        <v>43484.423666666662</v>
      </c>
      <c r="AF28" s="75">
        <f t="shared" si="18"/>
        <v>1473008</v>
      </c>
      <c r="AG28" s="90">
        <v>0.109</v>
      </c>
      <c r="AH28" s="113"/>
      <c r="AI28" s="112"/>
    </row>
    <row r="29" spans="1:35" ht="25.5">
      <c r="A29" s="91">
        <v>21</v>
      </c>
      <c r="B29" s="92" t="s">
        <v>162</v>
      </c>
      <c r="C29" s="92" t="s">
        <v>163</v>
      </c>
      <c r="D29" s="69">
        <v>7000</v>
      </c>
      <c r="E29" s="69">
        <f>D29+J29*10</f>
        <v>124250</v>
      </c>
      <c r="F29" s="69"/>
      <c r="G29" s="70">
        <v>39559</v>
      </c>
      <c r="H29" s="71">
        <f t="shared" si="1"/>
        <v>470.9404761904762</v>
      </c>
      <c r="I29" s="71"/>
      <c r="J29" s="83">
        <v>11725</v>
      </c>
      <c r="K29" s="73">
        <f t="shared" si="2"/>
        <v>8768</v>
      </c>
      <c r="L29" s="74">
        <f t="shared" si="0"/>
        <v>0.59701492537313428</v>
      </c>
      <c r="M29" s="74">
        <f t="shared" si="3"/>
        <v>4.5117472627737225</v>
      </c>
      <c r="N29" s="71">
        <v>7133</v>
      </c>
      <c r="O29" s="71">
        <v>9405</v>
      </c>
      <c r="P29" s="71">
        <v>6884</v>
      </c>
      <c r="Q29" s="71">
        <v>10015</v>
      </c>
      <c r="R29" s="71">
        <f t="shared" si="4"/>
        <v>104.38095238095238</v>
      </c>
      <c r="S29" s="71">
        <f t="shared" si="5"/>
        <v>21711.238095238095</v>
      </c>
      <c r="T29" s="71">
        <f t="shared" si="6"/>
        <v>417.52380952380952</v>
      </c>
      <c r="U29" s="71">
        <f t="shared" si="7"/>
        <v>521.90476190476193</v>
      </c>
      <c r="V29" s="71">
        <f t="shared" si="8"/>
        <v>313.14285714285711</v>
      </c>
      <c r="W29" s="71">
        <f t="shared" si="9"/>
        <v>0</v>
      </c>
      <c r="X29" s="71">
        <f t="shared" si="10"/>
        <v>782.85714285714278</v>
      </c>
      <c r="Y29" s="71">
        <f t="shared" si="11"/>
        <v>2870.4761904761908</v>
      </c>
      <c r="Z29" s="71">
        <f t="shared" si="12"/>
        <v>208.76190476190476</v>
      </c>
      <c r="AA29" s="71">
        <f t="shared" si="13"/>
        <v>521.90476190476193</v>
      </c>
      <c r="AB29" s="71">
        <f t="shared" si="14"/>
        <v>208.76190476190476</v>
      </c>
      <c r="AC29" s="71">
        <f t="shared" si="15"/>
        <v>939.42857142857144</v>
      </c>
      <c r="AD29" s="71">
        <f t="shared" si="16"/>
        <v>28496.000000000004</v>
      </c>
      <c r="AE29" s="71">
        <f t="shared" si="17"/>
        <v>4707.5392000000011</v>
      </c>
      <c r="AF29" s="75">
        <f t="shared" si="18"/>
        <v>105216</v>
      </c>
      <c r="AG29" s="81">
        <v>0.16520000000000001</v>
      </c>
      <c r="AH29" s="113"/>
      <c r="AI29" s="112"/>
    </row>
    <row r="30" spans="1:35" ht="25.5">
      <c r="A30" s="91">
        <v>22</v>
      </c>
      <c r="B30" s="92" t="s">
        <v>164</v>
      </c>
      <c r="C30" s="92" t="s">
        <v>165</v>
      </c>
      <c r="D30" s="69">
        <v>120979</v>
      </c>
      <c r="E30" s="69">
        <f>D30+J30*11</f>
        <v>1156079</v>
      </c>
      <c r="F30" s="69"/>
      <c r="G30" s="70">
        <f>313198-1568</f>
        <v>311630</v>
      </c>
      <c r="H30" s="71">
        <f t="shared" si="1"/>
        <v>3709.8809523809523</v>
      </c>
      <c r="I30" s="71"/>
      <c r="J30" s="83">
        <v>94100</v>
      </c>
      <c r="K30" s="73">
        <f t="shared" si="2"/>
        <v>96995.666666666672</v>
      </c>
      <c r="L30" s="74">
        <f t="shared" si="0"/>
        <v>1.2856429330499468</v>
      </c>
      <c r="M30" s="74">
        <f t="shared" si="3"/>
        <v>3.2128239405884109</v>
      </c>
      <c r="N30" s="71">
        <v>97444</v>
      </c>
      <c r="O30" s="71">
        <v>101834</v>
      </c>
      <c r="P30" s="71">
        <v>85627</v>
      </c>
      <c r="Q30" s="71">
        <v>103526</v>
      </c>
      <c r="R30" s="71">
        <f t="shared" si="4"/>
        <v>1154.7103174603176</v>
      </c>
      <c r="S30" s="71">
        <f t="shared" si="5"/>
        <v>240179.74603174606</v>
      </c>
      <c r="T30" s="71">
        <f t="shared" si="6"/>
        <v>4618.8412698412703</v>
      </c>
      <c r="U30" s="71">
        <f t="shared" si="7"/>
        <v>5773.5515873015884</v>
      </c>
      <c r="V30" s="71">
        <f t="shared" si="8"/>
        <v>3464.1309523809527</v>
      </c>
      <c r="W30" s="71">
        <f t="shared" si="9"/>
        <v>0</v>
      </c>
      <c r="X30" s="71">
        <f t="shared" si="10"/>
        <v>8660.3273809523816</v>
      </c>
      <c r="Y30" s="71">
        <f t="shared" si="11"/>
        <v>31754.533730158735</v>
      </c>
      <c r="Z30" s="71">
        <f t="shared" si="12"/>
        <v>2309.4206349206352</v>
      </c>
      <c r="AA30" s="71">
        <f t="shared" si="13"/>
        <v>5773.5515873015884</v>
      </c>
      <c r="AB30" s="71">
        <f t="shared" si="14"/>
        <v>2309.4206349206352</v>
      </c>
      <c r="AC30" s="71">
        <f t="shared" si="15"/>
        <v>10392.392857142859</v>
      </c>
      <c r="AD30" s="71">
        <f t="shared" si="16"/>
        <v>315235.91666666674</v>
      </c>
      <c r="AE30" s="71">
        <f t="shared" si="17"/>
        <v>14185.616250000003</v>
      </c>
      <c r="AF30" s="75">
        <f t="shared" si="18"/>
        <v>1163948</v>
      </c>
      <c r="AG30" s="88">
        <v>4.4999999999999998E-2</v>
      </c>
      <c r="AH30" s="113"/>
      <c r="AI30" s="112"/>
    </row>
    <row r="31" spans="1:35" ht="25.5">
      <c r="A31" s="93">
        <v>23</v>
      </c>
      <c r="B31" s="94" t="s">
        <v>166</v>
      </c>
      <c r="C31" s="94" t="s">
        <v>167</v>
      </c>
      <c r="D31" s="69">
        <v>1792</v>
      </c>
      <c r="E31" s="69">
        <f>D31+J31*10</f>
        <v>12702</v>
      </c>
      <c r="F31" s="69"/>
      <c r="G31" s="70">
        <v>4308</v>
      </c>
      <c r="H31" s="71">
        <f t="shared" si="1"/>
        <v>51.285714285714285</v>
      </c>
      <c r="I31" s="71"/>
      <c r="J31" s="95">
        <v>1091</v>
      </c>
      <c r="K31" s="73">
        <f t="shared" si="2"/>
        <v>1883</v>
      </c>
      <c r="L31" s="74">
        <f t="shared" si="0"/>
        <v>1.6425297891842348</v>
      </c>
      <c r="M31" s="74">
        <f t="shared" si="3"/>
        <v>2.2878385554965481</v>
      </c>
      <c r="N31" s="71">
        <v>1348</v>
      </c>
      <c r="O31" s="71">
        <v>834</v>
      </c>
      <c r="P31" s="71">
        <f>1971+1640</f>
        <v>3611</v>
      </c>
      <c r="Q31" s="71">
        <v>1204</v>
      </c>
      <c r="R31" s="71">
        <f t="shared" si="4"/>
        <v>22.416666666666668</v>
      </c>
      <c r="S31" s="71">
        <f t="shared" si="5"/>
        <v>4662.666666666667</v>
      </c>
      <c r="T31" s="71">
        <f t="shared" si="6"/>
        <v>89.666666666666671</v>
      </c>
      <c r="U31" s="71">
        <f t="shared" si="7"/>
        <v>112.08333333333334</v>
      </c>
      <c r="V31" s="71">
        <f t="shared" si="8"/>
        <v>67.25</v>
      </c>
      <c r="W31" s="71">
        <f t="shared" si="9"/>
        <v>0</v>
      </c>
      <c r="X31" s="71">
        <f t="shared" si="10"/>
        <v>168.125</v>
      </c>
      <c r="Y31" s="71">
        <f t="shared" si="11"/>
        <v>616.45833333333337</v>
      </c>
      <c r="Z31" s="71">
        <f t="shared" si="12"/>
        <v>44.833333333333336</v>
      </c>
      <c r="AA31" s="71">
        <f t="shared" si="13"/>
        <v>112.08333333333334</v>
      </c>
      <c r="AB31" s="71">
        <f t="shared" si="14"/>
        <v>44.833333333333336</v>
      </c>
      <c r="AC31" s="71">
        <f t="shared" si="15"/>
        <v>201.75</v>
      </c>
      <c r="AD31" s="71">
        <f t="shared" si="16"/>
        <v>6119.7499999999991</v>
      </c>
      <c r="AE31" s="71">
        <f t="shared" si="17"/>
        <v>19763.732624999997</v>
      </c>
      <c r="AF31" s="75">
        <f t="shared" si="18"/>
        <v>22596</v>
      </c>
      <c r="AG31" s="81">
        <v>3.2294999999999998</v>
      </c>
      <c r="AH31" s="113"/>
      <c r="AI31" s="112"/>
    </row>
    <row r="32" spans="1:35" ht="44.25" customHeight="1">
      <c r="A32" s="136">
        <v>24</v>
      </c>
      <c r="B32" s="94" t="s">
        <v>168</v>
      </c>
      <c r="C32" s="94" t="s">
        <v>169</v>
      </c>
      <c r="D32" s="69">
        <v>0</v>
      </c>
      <c r="E32" s="69">
        <f>J32*10</f>
        <v>16390</v>
      </c>
      <c r="F32" s="69"/>
      <c r="G32" s="70">
        <v>688</v>
      </c>
      <c r="H32" s="71">
        <f t="shared" si="1"/>
        <v>8.1904761904761898</v>
      </c>
      <c r="I32" s="71"/>
      <c r="J32" s="95">
        <v>1639</v>
      </c>
      <c r="K32" s="73">
        <f t="shared" si="2"/>
        <v>1531</v>
      </c>
      <c r="L32" s="74">
        <f t="shared" si="0"/>
        <v>0</v>
      </c>
      <c r="M32" s="74">
        <f t="shared" si="3"/>
        <v>0.44937949052906595</v>
      </c>
      <c r="N32" s="71">
        <v>916</v>
      </c>
      <c r="O32" s="71">
        <v>156</v>
      </c>
      <c r="P32" s="71">
        <v>2685</v>
      </c>
      <c r="Q32" s="71">
        <v>1752</v>
      </c>
      <c r="R32" s="71">
        <f t="shared" si="4"/>
        <v>18.226190476190474</v>
      </c>
      <c r="S32" s="71">
        <f t="shared" si="5"/>
        <v>3791.0476190476188</v>
      </c>
      <c r="T32" s="71">
        <f t="shared" si="6"/>
        <v>72.904761904761898</v>
      </c>
      <c r="U32" s="71">
        <f t="shared" si="7"/>
        <v>91.13095238095238</v>
      </c>
      <c r="V32" s="71">
        <f t="shared" si="8"/>
        <v>54.678571428571423</v>
      </c>
      <c r="W32" s="71">
        <f t="shared" si="9"/>
        <v>0</v>
      </c>
      <c r="X32" s="71">
        <f t="shared" si="10"/>
        <v>136.69642857142856</v>
      </c>
      <c r="Y32" s="71">
        <f t="shared" si="11"/>
        <v>501.22023809523807</v>
      </c>
      <c r="Z32" s="71">
        <f t="shared" si="12"/>
        <v>36.452380952380949</v>
      </c>
      <c r="AA32" s="71">
        <f t="shared" si="13"/>
        <v>91.13095238095238</v>
      </c>
      <c r="AB32" s="71">
        <f t="shared" si="14"/>
        <v>36.452380952380949</v>
      </c>
      <c r="AC32" s="71">
        <f t="shared" si="15"/>
        <v>164.03571428571428</v>
      </c>
      <c r="AD32" s="71">
        <f t="shared" si="16"/>
        <v>4975.7499999999991</v>
      </c>
      <c r="AE32" s="71">
        <f t="shared" si="17"/>
        <v>128175.31999999998</v>
      </c>
      <c r="AF32" s="75">
        <f t="shared" si="18"/>
        <v>18372</v>
      </c>
      <c r="AG32" s="88">
        <v>25.76</v>
      </c>
      <c r="AH32" s="113"/>
      <c r="AI32" s="112"/>
    </row>
    <row r="33" spans="1:35" ht="50.25" customHeight="1">
      <c r="A33" s="137"/>
      <c r="B33" s="94" t="s">
        <v>170</v>
      </c>
      <c r="C33" s="94" t="s">
        <v>171</v>
      </c>
      <c r="D33" s="69">
        <v>6997</v>
      </c>
      <c r="E33" s="69">
        <f>D33</f>
        <v>6997</v>
      </c>
      <c r="F33" s="69"/>
      <c r="G33" s="70">
        <v>8978</v>
      </c>
      <c r="H33" s="71">
        <f t="shared" si="1"/>
        <v>106.88095238095238</v>
      </c>
      <c r="I33" s="71"/>
      <c r="J33" s="95">
        <v>0</v>
      </c>
      <c r="K33" s="70">
        <v>854</v>
      </c>
      <c r="L33" s="74" t="e">
        <f t="shared" si="0"/>
        <v>#DIV/0!</v>
      </c>
      <c r="M33" s="74">
        <f t="shared" si="3"/>
        <v>10.512880562060889</v>
      </c>
      <c r="N33" s="71">
        <v>0</v>
      </c>
      <c r="O33" s="71">
        <v>0</v>
      </c>
      <c r="P33" s="71">
        <v>168</v>
      </c>
      <c r="Q33" s="71">
        <v>854</v>
      </c>
      <c r="R33" s="71">
        <f t="shared" si="4"/>
        <v>10.166666666666666</v>
      </c>
      <c r="S33" s="71">
        <f t="shared" si="5"/>
        <v>2114.6666666666665</v>
      </c>
      <c r="T33" s="71">
        <f t="shared" si="6"/>
        <v>40.666666666666664</v>
      </c>
      <c r="U33" s="71">
        <f t="shared" si="7"/>
        <v>50.833333333333329</v>
      </c>
      <c r="V33" s="71">
        <f t="shared" si="8"/>
        <v>30.5</v>
      </c>
      <c r="W33" s="71">
        <f t="shared" si="9"/>
        <v>0</v>
      </c>
      <c r="X33" s="71">
        <f t="shared" si="10"/>
        <v>76.25</v>
      </c>
      <c r="Y33" s="71">
        <f t="shared" si="11"/>
        <v>279.58333333333331</v>
      </c>
      <c r="Z33" s="71">
        <f t="shared" si="12"/>
        <v>20.333333333333332</v>
      </c>
      <c r="AA33" s="71">
        <f t="shared" si="13"/>
        <v>50.833333333333329</v>
      </c>
      <c r="AB33" s="71">
        <f t="shared" si="14"/>
        <v>20.333333333333332</v>
      </c>
      <c r="AC33" s="71">
        <f t="shared" si="15"/>
        <v>91.5</v>
      </c>
      <c r="AD33" s="71">
        <f t="shared" si="16"/>
        <v>2775.5000000000005</v>
      </c>
      <c r="AE33" s="71">
        <f t="shared" si="17"/>
        <v>86037.724500000011</v>
      </c>
      <c r="AF33" s="75">
        <f t="shared" si="18"/>
        <v>10248</v>
      </c>
      <c r="AG33" s="67">
        <v>30.998999999999999</v>
      </c>
      <c r="AH33" s="113"/>
      <c r="AI33" s="112"/>
    </row>
    <row r="34" spans="1:35" ht="41.25" customHeight="1">
      <c r="A34" s="93">
        <v>25</v>
      </c>
      <c r="B34" s="96" t="s">
        <v>172</v>
      </c>
      <c r="C34" s="96" t="s">
        <v>173</v>
      </c>
      <c r="D34" s="69">
        <f>2+2994</f>
        <v>2996</v>
      </c>
      <c r="E34" s="69">
        <f>D34+J34*10</f>
        <v>10856</v>
      </c>
      <c r="F34" s="69"/>
      <c r="G34" s="70">
        <v>4029</v>
      </c>
      <c r="H34" s="71">
        <f t="shared" si="1"/>
        <v>47.964285714285715</v>
      </c>
      <c r="I34" s="71"/>
      <c r="J34" s="95">
        <v>786</v>
      </c>
      <c r="K34" s="73">
        <f t="shared" si="2"/>
        <v>928.66666666666663</v>
      </c>
      <c r="L34" s="74">
        <f t="shared" si="0"/>
        <v>3.8117048346055982</v>
      </c>
      <c r="M34" s="74">
        <f t="shared" si="3"/>
        <v>4.3384781048097629</v>
      </c>
      <c r="N34" s="71">
        <v>844</v>
      </c>
      <c r="O34" s="71">
        <v>942</v>
      </c>
      <c r="P34" s="71">
        <v>956</v>
      </c>
      <c r="Q34" s="71">
        <v>888</v>
      </c>
      <c r="R34" s="71">
        <f t="shared" si="4"/>
        <v>11.055555555555555</v>
      </c>
      <c r="S34" s="71">
        <f t="shared" si="5"/>
        <v>2299.5555555555557</v>
      </c>
      <c r="T34" s="71">
        <f t="shared" si="6"/>
        <v>44.222222222222221</v>
      </c>
      <c r="U34" s="71">
        <f t="shared" si="7"/>
        <v>55.277777777777779</v>
      </c>
      <c r="V34" s="71">
        <f t="shared" si="8"/>
        <v>33.166666666666664</v>
      </c>
      <c r="W34" s="71">
        <f t="shared" si="9"/>
        <v>0</v>
      </c>
      <c r="X34" s="71">
        <f t="shared" si="10"/>
        <v>82.916666666666657</v>
      </c>
      <c r="Y34" s="71">
        <f t="shared" si="11"/>
        <v>304.02777777777777</v>
      </c>
      <c r="Z34" s="71">
        <f t="shared" si="12"/>
        <v>22.111111111111111</v>
      </c>
      <c r="AA34" s="71">
        <f t="shared" si="13"/>
        <v>55.277777777777779</v>
      </c>
      <c r="AB34" s="71">
        <f t="shared" si="14"/>
        <v>22.111111111111111</v>
      </c>
      <c r="AC34" s="71">
        <f t="shared" si="15"/>
        <v>99.5</v>
      </c>
      <c r="AD34" s="71">
        <f t="shared" si="16"/>
        <v>3018.166666666667</v>
      </c>
      <c r="AE34" s="71">
        <f t="shared" si="17"/>
        <v>14487.2</v>
      </c>
      <c r="AF34" s="75">
        <f t="shared" si="18"/>
        <v>11144</v>
      </c>
      <c r="AG34" s="97">
        <v>4.8</v>
      </c>
      <c r="AH34" s="113"/>
      <c r="AI34" s="112"/>
    </row>
    <row r="35" spans="1:35" ht="75" customHeight="1">
      <c r="A35" s="93">
        <v>26</v>
      </c>
      <c r="B35" s="94" t="s">
        <v>174</v>
      </c>
      <c r="C35" s="94" t="s">
        <v>175</v>
      </c>
      <c r="D35" s="69">
        <v>388</v>
      </c>
      <c r="E35" s="69">
        <f>D35+J35*10</f>
        <v>3908</v>
      </c>
      <c r="F35" s="69"/>
      <c r="G35" s="70">
        <v>1362</v>
      </c>
      <c r="H35" s="71">
        <f t="shared" si="1"/>
        <v>16.214285714285715</v>
      </c>
      <c r="I35" s="71"/>
      <c r="J35" s="95">
        <v>352</v>
      </c>
      <c r="K35" s="73">
        <f t="shared" si="2"/>
        <v>314</v>
      </c>
      <c r="L35" s="74">
        <f t="shared" si="0"/>
        <v>1.1022727272727273</v>
      </c>
      <c r="M35" s="74">
        <f t="shared" si="3"/>
        <v>4.3375796178343951</v>
      </c>
      <c r="N35" s="71">
        <v>258</v>
      </c>
      <c r="O35" s="71">
        <v>320</v>
      </c>
      <c r="P35" s="71">
        <v>340</v>
      </c>
      <c r="Q35" s="71">
        <v>282</v>
      </c>
      <c r="R35" s="71">
        <f t="shared" si="4"/>
        <v>3.7380952380952381</v>
      </c>
      <c r="S35" s="71">
        <f t="shared" si="5"/>
        <v>777.52380952380952</v>
      </c>
      <c r="T35" s="71">
        <f t="shared" si="6"/>
        <v>14.952380952380953</v>
      </c>
      <c r="U35" s="71">
        <f t="shared" si="7"/>
        <v>18.69047619047619</v>
      </c>
      <c r="V35" s="71">
        <f t="shared" si="8"/>
        <v>11.214285714285715</v>
      </c>
      <c r="W35" s="71">
        <f t="shared" si="9"/>
        <v>0</v>
      </c>
      <c r="X35" s="71">
        <f t="shared" si="10"/>
        <v>28.035714285714288</v>
      </c>
      <c r="Y35" s="71">
        <f t="shared" si="11"/>
        <v>102.79761904761904</v>
      </c>
      <c r="Z35" s="71">
        <f t="shared" si="12"/>
        <v>7.4761904761904763</v>
      </c>
      <c r="AA35" s="71">
        <f t="shared" si="13"/>
        <v>18.69047619047619</v>
      </c>
      <c r="AB35" s="71">
        <f t="shared" si="14"/>
        <v>7.4761904761904763</v>
      </c>
      <c r="AC35" s="71">
        <f t="shared" si="15"/>
        <v>33.642857142857146</v>
      </c>
      <c r="AD35" s="71">
        <f t="shared" si="16"/>
        <v>1020.4999999999999</v>
      </c>
      <c r="AE35" s="71">
        <f t="shared" si="17"/>
        <v>81188.938999999998</v>
      </c>
      <c r="AF35" s="75">
        <f t="shared" si="18"/>
        <v>3768</v>
      </c>
      <c r="AG35" s="88">
        <v>79.558000000000007</v>
      </c>
      <c r="AH35" s="113"/>
      <c r="AI35" s="112"/>
    </row>
    <row r="36" spans="1:35" ht="38.25">
      <c r="A36" s="93">
        <v>27</v>
      </c>
      <c r="B36" s="94" t="s">
        <v>176</v>
      </c>
      <c r="C36" s="94" t="s">
        <v>177</v>
      </c>
      <c r="D36" s="69">
        <v>385</v>
      </c>
      <c r="E36" s="69">
        <f>D36+J36*11</f>
        <v>7260</v>
      </c>
      <c r="F36" s="69"/>
      <c r="G36" s="70">
        <v>10436</v>
      </c>
      <c r="H36" s="71">
        <f t="shared" si="1"/>
        <v>124.23809523809524</v>
      </c>
      <c r="I36" s="71"/>
      <c r="J36" s="95">
        <v>625</v>
      </c>
      <c r="K36" s="73">
        <f t="shared" si="2"/>
        <v>773</v>
      </c>
      <c r="L36" s="74">
        <f t="shared" si="0"/>
        <v>0.61599999999999999</v>
      </c>
      <c r="M36" s="74">
        <f t="shared" si="3"/>
        <v>13.500646830530401</v>
      </c>
      <c r="N36" s="71">
        <v>827</v>
      </c>
      <c r="O36" s="71">
        <v>753</v>
      </c>
      <c r="P36" s="71">
        <v>1084</v>
      </c>
      <c r="Q36" s="71">
        <v>482</v>
      </c>
      <c r="R36" s="71">
        <f t="shared" si="4"/>
        <v>9.2023809523809526</v>
      </c>
      <c r="S36" s="71">
        <f t="shared" si="5"/>
        <v>1914.0952380952381</v>
      </c>
      <c r="T36" s="71">
        <f t="shared" si="6"/>
        <v>36.80952380952381</v>
      </c>
      <c r="U36" s="71">
        <f t="shared" si="7"/>
        <v>46.011904761904759</v>
      </c>
      <c r="V36" s="71">
        <f t="shared" si="8"/>
        <v>27.607142857142858</v>
      </c>
      <c r="W36" s="71">
        <f t="shared" si="9"/>
        <v>0</v>
      </c>
      <c r="X36" s="71">
        <f t="shared" si="10"/>
        <v>69.017857142857139</v>
      </c>
      <c r="Y36" s="71">
        <f t="shared" si="11"/>
        <v>253.06547619047618</v>
      </c>
      <c r="Z36" s="71">
        <f t="shared" si="12"/>
        <v>18.404761904761905</v>
      </c>
      <c r="AA36" s="71">
        <f t="shared" si="13"/>
        <v>46.011904761904759</v>
      </c>
      <c r="AB36" s="71">
        <f t="shared" si="14"/>
        <v>18.404761904761905</v>
      </c>
      <c r="AC36" s="71">
        <f t="shared" si="15"/>
        <v>82.821428571428569</v>
      </c>
      <c r="AD36" s="71">
        <f t="shared" si="16"/>
        <v>2512.25</v>
      </c>
      <c r="AE36" s="71">
        <f t="shared" si="17"/>
        <v>929.03005000000007</v>
      </c>
      <c r="AF36" s="75">
        <f t="shared" si="18"/>
        <v>9276</v>
      </c>
      <c r="AG36" s="89">
        <v>0.36980000000000002</v>
      </c>
      <c r="AH36" s="113"/>
      <c r="AI36" s="112"/>
    </row>
    <row r="37" spans="1:35" ht="38.25">
      <c r="A37" s="98">
        <v>28</v>
      </c>
      <c r="B37" s="99" t="s">
        <v>178</v>
      </c>
      <c r="C37" s="100" t="s">
        <v>179</v>
      </c>
      <c r="D37" s="70">
        <v>219900</v>
      </c>
      <c r="E37" s="70">
        <f t="shared" ref="E37:E44" si="20">D37</f>
        <v>219900</v>
      </c>
      <c r="F37" s="70"/>
      <c r="G37" s="70">
        <v>438731</v>
      </c>
      <c r="H37" s="71">
        <f t="shared" si="1"/>
        <v>5222.9880952380954</v>
      </c>
      <c r="I37" s="71"/>
      <c r="J37" s="95">
        <v>10000</v>
      </c>
      <c r="K37" s="73">
        <f>(P37+Q37)/2</f>
        <v>37379</v>
      </c>
      <c r="L37" s="74">
        <f t="shared" si="0"/>
        <v>21.99</v>
      </c>
      <c r="M37" s="74">
        <f t="shared" si="3"/>
        <v>11.737365900639396</v>
      </c>
      <c r="N37" s="71">
        <v>0</v>
      </c>
      <c r="O37" s="71">
        <v>12111</v>
      </c>
      <c r="P37" s="71">
        <v>37545</v>
      </c>
      <c r="Q37" s="71">
        <v>37213</v>
      </c>
      <c r="R37" s="71">
        <f t="shared" si="4"/>
        <v>444.98809523809524</v>
      </c>
      <c r="S37" s="71">
        <f t="shared" si="5"/>
        <v>92557.523809523816</v>
      </c>
      <c r="T37" s="71">
        <f t="shared" si="6"/>
        <v>1779.952380952381</v>
      </c>
      <c r="U37" s="71">
        <f t="shared" si="7"/>
        <v>2224.9404761904761</v>
      </c>
      <c r="V37" s="71">
        <f t="shared" si="8"/>
        <v>1334.9642857142858</v>
      </c>
      <c r="W37" s="71">
        <f t="shared" si="9"/>
        <v>0</v>
      </c>
      <c r="X37" s="71">
        <f t="shared" si="10"/>
        <v>3337.4107142857147</v>
      </c>
      <c r="Y37" s="71">
        <f t="shared" si="11"/>
        <v>12237.172619047618</v>
      </c>
      <c r="Z37" s="71">
        <f t="shared" si="12"/>
        <v>889.97619047619048</v>
      </c>
      <c r="AA37" s="71">
        <f t="shared" si="13"/>
        <v>2224.9404761904761</v>
      </c>
      <c r="AB37" s="71">
        <f t="shared" si="14"/>
        <v>889.97619047619048</v>
      </c>
      <c r="AC37" s="71">
        <f t="shared" si="15"/>
        <v>4004.8928571428573</v>
      </c>
      <c r="AD37" s="71">
        <f t="shared" si="16"/>
        <v>121481.74999999999</v>
      </c>
      <c r="AE37" s="71">
        <f t="shared" si="17"/>
        <v>70459.414999999994</v>
      </c>
      <c r="AF37" s="75">
        <f t="shared" si="18"/>
        <v>448548</v>
      </c>
      <c r="AG37" s="67">
        <v>0.57999999999999996</v>
      </c>
      <c r="AH37" s="113"/>
      <c r="AI37" s="112"/>
    </row>
    <row r="38" spans="1:35" ht="63.75">
      <c r="A38" s="98">
        <v>29</v>
      </c>
      <c r="B38" s="99" t="s">
        <v>180</v>
      </c>
      <c r="C38" s="100" t="s">
        <v>181</v>
      </c>
      <c r="D38" s="70">
        <v>141700</v>
      </c>
      <c r="E38" s="70">
        <f t="shared" si="20"/>
        <v>141700</v>
      </c>
      <c r="F38" s="70"/>
      <c r="G38" s="70">
        <v>236764</v>
      </c>
      <c r="H38" s="71">
        <f t="shared" si="1"/>
        <v>2818.6190476190477</v>
      </c>
      <c r="I38" s="71"/>
      <c r="J38" s="95">
        <v>18200</v>
      </c>
      <c r="K38" s="73">
        <f t="shared" ref="K38:K44" si="21">(P38+Q38)/2</f>
        <v>11757</v>
      </c>
      <c r="L38" s="74">
        <f t="shared" si="0"/>
        <v>7.7857142857142856</v>
      </c>
      <c r="M38" s="74">
        <f t="shared" si="3"/>
        <v>20.138130475461427</v>
      </c>
      <c r="N38" s="71">
        <v>0</v>
      </c>
      <c r="O38" s="71">
        <v>2522</v>
      </c>
      <c r="P38" s="71">
        <v>11386</v>
      </c>
      <c r="Q38" s="71">
        <v>12128</v>
      </c>
      <c r="R38" s="71">
        <f t="shared" si="4"/>
        <v>139.96428571428572</v>
      </c>
      <c r="S38" s="71">
        <f t="shared" si="5"/>
        <v>29112.571428571431</v>
      </c>
      <c r="T38" s="71">
        <f t="shared" si="6"/>
        <v>559.85714285714289</v>
      </c>
      <c r="U38" s="71">
        <f t="shared" si="7"/>
        <v>699.82142857142867</v>
      </c>
      <c r="V38" s="71">
        <f t="shared" si="8"/>
        <v>419.89285714285717</v>
      </c>
      <c r="W38" s="71">
        <f t="shared" si="9"/>
        <v>0</v>
      </c>
      <c r="X38" s="71">
        <f t="shared" si="10"/>
        <v>1049.7321428571429</v>
      </c>
      <c r="Y38" s="71">
        <f t="shared" si="11"/>
        <v>3849.0178571428578</v>
      </c>
      <c r="Z38" s="71">
        <f t="shared" si="12"/>
        <v>279.92857142857144</v>
      </c>
      <c r="AA38" s="71">
        <f t="shared" si="13"/>
        <v>699.82142857142867</v>
      </c>
      <c r="AB38" s="71">
        <f t="shared" si="14"/>
        <v>279.92857142857144</v>
      </c>
      <c r="AC38" s="71">
        <f t="shared" si="15"/>
        <v>1259.6785714285716</v>
      </c>
      <c r="AD38" s="71">
        <f t="shared" si="16"/>
        <v>38210.25</v>
      </c>
      <c r="AE38" s="71">
        <f t="shared" si="17"/>
        <v>14901.997500000001</v>
      </c>
      <c r="AF38" s="75">
        <f t="shared" si="18"/>
        <v>141084</v>
      </c>
      <c r="AG38" s="67">
        <v>0.39</v>
      </c>
      <c r="AH38" s="113"/>
      <c r="AI38" s="112"/>
    </row>
    <row r="39" spans="1:35" ht="25.5">
      <c r="A39" s="101">
        <v>30</v>
      </c>
      <c r="B39" s="102" t="s">
        <v>182</v>
      </c>
      <c r="C39" s="103" t="s">
        <v>183</v>
      </c>
      <c r="D39" s="70">
        <v>1778440</v>
      </c>
      <c r="E39" s="70">
        <f t="shared" si="20"/>
        <v>1778440</v>
      </c>
      <c r="F39" s="70"/>
      <c r="G39" s="70">
        <v>1889838</v>
      </c>
      <c r="H39" s="71">
        <f t="shared" si="1"/>
        <v>22498.071428571428</v>
      </c>
      <c r="I39" s="71"/>
      <c r="J39" s="95">
        <v>6000</v>
      </c>
      <c r="K39" s="70">
        <v>16679</v>
      </c>
      <c r="L39" s="74">
        <f t="shared" si="0"/>
        <v>296.40666666666669</v>
      </c>
      <c r="M39" s="74">
        <f t="shared" si="3"/>
        <v>113.30643323940284</v>
      </c>
      <c r="N39" s="71">
        <v>0</v>
      </c>
      <c r="O39" s="71">
        <v>2254</v>
      </c>
      <c r="P39" s="71">
        <v>9669</v>
      </c>
      <c r="Q39" s="71">
        <v>16679</v>
      </c>
      <c r="R39" s="71">
        <f t="shared" si="4"/>
        <v>198.5595238095238</v>
      </c>
      <c r="S39" s="71">
        <f t="shared" si="5"/>
        <v>41300.380952380947</v>
      </c>
      <c r="T39" s="71">
        <f t="shared" si="6"/>
        <v>794.23809523809518</v>
      </c>
      <c r="U39" s="71">
        <f t="shared" si="7"/>
        <v>992.79761904761904</v>
      </c>
      <c r="V39" s="71">
        <f t="shared" si="8"/>
        <v>595.67857142857133</v>
      </c>
      <c r="W39" s="71">
        <f t="shared" si="9"/>
        <v>0</v>
      </c>
      <c r="X39" s="71">
        <f t="shared" si="10"/>
        <v>1489.1964285714284</v>
      </c>
      <c r="Y39" s="71">
        <f t="shared" si="11"/>
        <v>5460.3869047619046</v>
      </c>
      <c r="Z39" s="71">
        <f t="shared" si="12"/>
        <v>397.11904761904759</v>
      </c>
      <c r="AA39" s="71">
        <f t="shared" si="13"/>
        <v>992.79761904761904</v>
      </c>
      <c r="AB39" s="71">
        <f t="shared" si="14"/>
        <v>397.11904761904759</v>
      </c>
      <c r="AC39" s="71">
        <f t="shared" si="15"/>
        <v>1787.0357142857142</v>
      </c>
      <c r="AD39" s="71">
        <f t="shared" si="16"/>
        <v>54206.749999999993</v>
      </c>
      <c r="AE39" s="71">
        <f t="shared" si="17"/>
        <v>38107.345249999991</v>
      </c>
      <c r="AF39" s="75">
        <f t="shared" si="18"/>
        <v>200148</v>
      </c>
      <c r="AG39" s="67">
        <v>0.70299999999999996</v>
      </c>
      <c r="AH39" s="113"/>
      <c r="AI39" s="112"/>
    </row>
    <row r="40" spans="1:35" ht="25.5">
      <c r="A40" s="101">
        <v>31</v>
      </c>
      <c r="B40" s="102" t="s">
        <v>184</v>
      </c>
      <c r="C40" s="103" t="s">
        <v>185</v>
      </c>
      <c r="D40" s="70">
        <v>912700</v>
      </c>
      <c r="E40" s="70">
        <f t="shared" si="20"/>
        <v>912700</v>
      </c>
      <c r="F40" s="70"/>
      <c r="G40" s="70">
        <v>1057995</v>
      </c>
      <c r="H40" s="71">
        <f t="shared" si="1"/>
        <v>12595.178571428571</v>
      </c>
      <c r="I40" s="71"/>
      <c r="J40" s="95">
        <v>21750</v>
      </c>
      <c r="K40" s="70">
        <v>42380</v>
      </c>
      <c r="L40" s="74">
        <f t="shared" si="0"/>
        <v>41.963218390804599</v>
      </c>
      <c r="M40" s="74">
        <f t="shared" si="3"/>
        <v>24.964487966021707</v>
      </c>
      <c r="N40" s="71">
        <v>0</v>
      </c>
      <c r="O40" s="71">
        <v>3581</v>
      </c>
      <c r="P40" s="71">
        <v>29394</v>
      </c>
      <c r="Q40" s="71">
        <v>42380</v>
      </c>
      <c r="R40" s="71">
        <f t="shared" si="4"/>
        <v>504.52380952380952</v>
      </c>
      <c r="S40" s="71">
        <f t="shared" si="5"/>
        <v>104940.95238095238</v>
      </c>
      <c r="T40" s="71">
        <f t="shared" si="6"/>
        <v>2018.0952380952381</v>
      </c>
      <c r="U40" s="71">
        <f t="shared" si="7"/>
        <v>2522.6190476190477</v>
      </c>
      <c r="V40" s="71">
        <f t="shared" si="8"/>
        <v>1513.5714285714284</v>
      </c>
      <c r="W40" s="71">
        <f t="shared" si="9"/>
        <v>0</v>
      </c>
      <c r="X40" s="71">
        <f t="shared" si="10"/>
        <v>3783.9285714285711</v>
      </c>
      <c r="Y40" s="71">
        <f t="shared" si="11"/>
        <v>13874.404761904763</v>
      </c>
      <c r="Z40" s="71">
        <f t="shared" si="12"/>
        <v>1009.047619047619</v>
      </c>
      <c r="AA40" s="71">
        <f t="shared" si="13"/>
        <v>2522.6190476190477</v>
      </c>
      <c r="AB40" s="71">
        <f t="shared" si="14"/>
        <v>1009.047619047619</v>
      </c>
      <c r="AC40" s="71">
        <f t="shared" si="15"/>
        <v>4540.7142857142853</v>
      </c>
      <c r="AD40" s="71">
        <f t="shared" si="16"/>
        <v>137735.00000000003</v>
      </c>
      <c r="AE40" s="71">
        <f t="shared" si="17"/>
        <v>9586.3560000000016</v>
      </c>
      <c r="AF40" s="75">
        <f t="shared" si="18"/>
        <v>508560</v>
      </c>
      <c r="AG40" s="67">
        <v>6.9599999999999995E-2</v>
      </c>
      <c r="AH40" s="113"/>
      <c r="AI40" s="112"/>
    </row>
    <row r="41" spans="1:35" ht="38.25">
      <c r="A41" s="130">
        <v>32</v>
      </c>
      <c r="B41" s="102" t="s">
        <v>186</v>
      </c>
      <c r="C41" s="103" t="s">
        <v>187</v>
      </c>
      <c r="D41" s="70">
        <v>124900</v>
      </c>
      <c r="E41" s="70">
        <f t="shared" si="20"/>
        <v>124900</v>
      </c>
      <c r="F41" s="70"/>
      <c r="G41" s="70">
        <v>253716</v>
      </c>
      <c r="H41" s="71">
        <f t="shared" si="1"/>
        <v>3020.4285714285716</v>
      </c>
      <c r="I41" s="71"/>
      <c r="J41" s="95">
        <v>0</v>
      </c>
      <c r="K41" s="73">
        <f t="shared" si="21"/>
        <v>4496</v>
      </c>
      <c r="L41" s="74" t="e">
        <f t="shared" si="0"/>
        <v>#DIV/0!</v>
      </c>
      <c r="M41" s="74">
        <f t="shared" si="3"/>
        <v>56.431494661921711</v>
      </c>
      <c r="N41" s="71">
        <v>0</v>
      </c>
      <c r="O41" s="71">
        <v>92</v>
      </c>
      <c r="P41" s="71">
        <v>5662</v>
      </c>
      <c r="Q41" s="71">
        <v>3330</v>
      </c>
      <c r="R41" s="71">
        <f t="shared" si="4"/>
        <v>53.523809523809526</v>
      </c>
      <c r="S41" s="71">
        <f t="shared" si="5"/>
        <v>11132.952380952382</v>
      </c>
      <c r="T41" s="71">
        <f t="shared" si="6"/>
        <v>214.0952380952381</v>
      </c>
      <c r="U41" s="71">
        <f t="shared" si="7"/>
        <v>267.61904761904765</v>
      </c>
      <c r="V41" s="71">
        <f t="shared" si="8"/>
        <v>160.57142857142858</v>
      </c>
      <c r="W41" s="71">
        <f t="shared" si="9"/>
        <v>0</v>
      </c>
      <c r="X41" s="71">
        <f t="shared" si="10"/>
        <v>401.42857142857144</v>
      </c>
      <c r="Y41" s="71">
        <f t="shared" si="11"/>
        <v>1471.9047619047622</v>
      </c>
      <c r="Z41" s="71">
        <f t="shared" si="12"/>
        <v>107.04761904761905</v>
      </c>
      <c r="AA41" s="71">
        <f t="shared" si="13"/>
        <v>267.61904761904765</v>
      </c>
      <c r="AB41" s="71">
        <f t="shared" si="14"/>
        <v>107.04761904761905</v>
      </c>
      <c r="AC41" s="71">
        <f t="shared" si="15"/>
        <v>481.71428571428572</v>
      </c>
      <c r="AD41" s="71">
        <f t="shared" si="16"/>
        <v>14612</v>
      </c>
      <c r="AE41" s="71">
        <f t="shared" si="17"/>
        <v>2888.6348826399999</v>
      </c>
      <c r="AF41" s="75">
        <f t="shared" si="18"/>
        <v>53952</v>
      </c>
      <c r="AG41" s="67">
        <v>0.19768922</v>
      </c>
      <c r="AH41" s="113"/>
      <c r="AI41" s="112"/>
    </row>
    <row r="42" spans="1:35" ht="38.25">
      <c r="A42" s="131"/>
      <c r="B42" s="102" t="s">
        <v>188</v>
      </c>
      <c r="C42" s="103" t="s">
        <v>189</v>
      </c>
      <c r="D42" s="70">
        <v>761670</v>
      </c>
      <c r="E42" s="70">
        <f t="shared" si="20"/>
        <v>761670</v>
      </c>
      <c r="F42" s="70"/>
      <c r="G42" s="70">
        <v>885942</v>
      </c>
      <c r="H42" s="71">
        <f t="shared" si="1"/>
        <v>10546.928571428571</v>
      </c>
      <c r="I42" s="71"/>
      <c r="J42" s="95">
        <v>7650</v>
      </c>
      <c r="K42" s="73">
        <f t="shared" si="21"/>
        <v>11841</v>
      </c>
      <c r="L42" s="74">
        <f t="shared" si="0"/>
        <v>99.564705882352939</v>
      </c>
      <c r="M42" s="74">
        <f t="shared" si="3"/>
        <v>74.819863187230808</v>
      </c>
      <c r="N42" s="71">
        <v>0</v>
      </c>
      <c r="O42" s="71">
        <v>276</v>
      </c>
      <c r="P42" s="71">
        <v>11673</v>
      </c>
      <c r="Q42" s="71">
        <v>12009</v>
      </c>
      <c r="R42" s="71">
        <f t="shared" si="4"/>
        <v>140.96428571428572</v>
      </c>
      <c r="S42" s="71">
        <f t="shared" si="5"/>
        <v>29320.571428571431</v>
      </c>
      <c r="T42" s="71">
        <f t="shared" si="6"/>
        <v>563.85714285714289</v>
      </c>
      <c r="U42" s="71">
        <f t="shared" si="7"/>
        <v>704.82142857142867</v>
      </c>
      <c r="V42" s="71">
        <f t="shared" si="8"/>
        <v>422.89285714285717</v>
      </c>
      <c r="W42" s="71">
        <f t="shared" si="9"/>
        <v>0</v>
      </c>
      <c r="X42" s="71">
        <f t="shared" si="10"/>
        <v>1057.2321428571429</v>
      </c>
      <c r="Y42" s="71">
        <f t="shared" si="11"/>
        <v>3876.5178571428578</v>
      </c>
      <c r="Z42" s="71">
        <f t="shared" si="12"/>
        <v>281.92857142857144</v>
      </c>
      <c r="AA42" s="71">
        <f t="shared" si="13"/>
        <v>704.82142857142867</v>
      </c>
      <c r="AB42" s="71">
        <f t="shared" si="14"/>
        <v>281.92857142857144</v>
      </c>
      <c r="AC42" s="71">
        <f t="shared" si="15"/>
        <v>1268.6785714285716</v>
      </c>
      <c r="AD42" s="71">
        <f t="shared" si="16"/>
        <v>38483.25</v>
      </c>
      <c r="AE42" s="71">
        <f t="shared" si="17"/>
        <v>10613.531804655</v>
      </c>
      <c r="AF42" s="75">
        <f t="shared" si="18"/>
        <v>142092</v>
      </c>
      <c r="AG42" s="67">
        <v>0.27579614000000002</v>
      </c>
      <c r="AH42" s="113"/>
      <c r="AI42" s="112"/>
    </row>
    <row r="43" spans="1:35" ht="25.5">
      <c r="A43" s="130">
        <v>33</v>
      </c>
      <c r="B43" s="102" t="s">
        <v>190</v>
      </c>
      <c r="C43" s="103" t="s">
        <v>191</v>
      </c>
      <c r="D43" s="70">
        <v>409260</v>
      </c>
      <c r="E43" s="70">
        <f t="shared" si="20"/>
        <v>409260</v>
      </c>
      <c r="F43" s="70"/>
      <c r="G43" s="70">
        <v>456313</v>
      </c>
      <c r="H43" s="71">
        <f t="shared" si="1"/>
        <v>5432.2976190476193</v>
      </c>
      <c r="I43" s="71"/>
      <c r="J43" s="95">
        <v>600</v>
      </c>
      <c r="K43" s="73">
        <f t="shared" si="21"/>
        <v>1793.5</v>
      </c>
      <c r="L43" s="74">
        <f t="shared" si="0"/>
        <v>682.1</v>
      </c>
      <c r="M43" s="74">
        <f t="shared" si="3"/>
        <v>254.42598271536102</v>
      </c>
      <c r="N43" s="71">
        <v>0</v>
      </c>
      <c r="O43" s="71"/>
      <c r="P43" s="71">
        <v>1803</v>
      </c>
      <c r="Q43" s="71">
        <v>1784</v>
      </c>
      <c r="R43" s="71">
        <f t="shared" si="4"/>
        <v>21.351190476190474</v>
      </c>
      <c r="S43" s="71">
        <f t="shared" si="5"/>
        <v>4441.0476190476184</v>
      </c>
      <c r="T43" s="71">
        <f t="shared" si="6"/>
        <v>85.404761904761898</v>
      </c>
      <c r="U43" s="71">
        <f t="shared" si="7"/>
        <v>106.75595238095238</v>
      </c>
      <c r="V43" s="71">
        <f t="shared" si="8"/>
        <v>64.053571428571416</v>
      </c>
      <c r="W43" s="71">
        <f t="shared" si="9"/>
        <v>0</v>
      </c>
      <c r="X43" s="71">
        <f t="shared" si="10"/>
        <v>160.13392857142856</v>
      </c>
      <c r="Y43" s="71">
        <f t="shared" si="11"/>
        <v>587.15773809523807</v>
      </c>
      <c r="Z43" s="71">
        <f t="shared" si="12"/>
        <v>42.702380952380949</v>
      </c>
      <c r="AA43" s="71">
        <f t="shared" si="13"/>
        <v>106.75595238095238</v>
      </c>
      <c r="AB43" s="71">
        <f t="shared" si="14"/>
        <v>42.702380952380949</v>
      </c>
      <c r="AC43" s="71">
        <f t="shared" si="15"/>
        <v>192.16071428571428</v>
      </c>
      <c r="AD43" s="71">
        <f t="shared" si="16"/>
        <v>5828.8749999999991</v>
      </c>
      <c r="AE43" s="71">
        <f t="shared" si="17"/>
        <v>6378.537912499999</v>
      </c>
      <c r="AF43" s="75">
        <f t="shared" si="18"/>
        <v>21522</v>
      </c>
      <c r="AG43" s="67">
        <v>1.0943000000000001</v>
      </c>
      <c r="AH43" s="113"/>
      <c r="AI43" s="112"/>
    </row>
    <row r="44" spans="1:35" ht="25.5">
      <c r="A44" s="131"/>
      <c r="B44" s="102" t="s">
        <v>192</v>
      </c>
      <c r="C44" s="103" t="s">
        <v>193</v>
      </c>
      <c r="D44" s="70">
        <v>155040</v>
      </c>
      <c r="E44" s="70">
        <f t="shared" si="20"/>
        <v>155040</v>
      </c>
      <c r="F44" s="70"/>
      <c r="G44" s="70">
        <v>187859</v>
      </c>
      <c r="H44" s="71">
        <f t="shared" si="1"/>
        <v>2236.4166666666665</v>
      </c>
      <c r="I44" s="71"/>
      <c r="J44" s="95">
        <v>6450</v>
      </c>
      <c r="K44" s="73">
        <f t="shared" si="21"/>
        <v>4125.5</v>
      </c>
      <c r="L44" s="74">
        <f t="shared" si="0"/>
        <v>24.037209302325582</v>
      </c>
      <c r="M44" s="74">
        <f t="shared" si="3"/>
        <v>45.536056235607802</v>
      </c>
      <c r="N44" s="71">
        <v>0</v>
      </c>
      <c r="O44" s="71">
        <v>990</v>
      </c>
      <c r="P44" s="71">
        <v>2878</v>
      </c>
      <c r="Q44" s="71">
        <v>5373</v>
      </c>
      <c r="R44" s="71">
        <f t="shared" si="4"/>
        <v>49.113095238095241</v>
      </c>
      <c r="S44" s="71">
        <f t="shared" si="5"/>
        <v>10215.523809523809</v>
      </c>
      <c r="T44" s="71">
        <f t="shared" si="6"/>
        <v>196.45238095238096</v>
      </c>
      <c r="U44" s="71">
        <f t="shared" si="7"/>
        <v>245.5654761904762</v>
      </c>
      <c r="V44" s="71">
        <f t="shared" si="8"/>
        <v>147.33928571428572</v>
      </c>
      <c r="W44" s="71">
        <f t="shared" si="9"/>
        <v>0</v>
      </c>
      <c r="X44" s="71">
        <f t="shared" si="10"/>
        <v>368.34821428571433</v>
      </c>
      <c r="Y44" s="71">
        <f t="shared" si="11"/>
        <v>1350.610119047619</v>
      </c>
      <c r="Z44" s="71">
        <f t="shared" si="12"/>
        <v>98.226190476190482</v>
      </c>
      <c r="AA44" s="71">
        <f t="shared" si="13"/>
        <v>245.5654761904762</v>
      </c>
      <c r="AB44" s="71">
        <f t="shared" si="14"/>
        <v>98.226190476190482</v>
      </c>
      <c r="AC44" s="71">
        <f t="shared" si="15"/>
        <v>442.01785714285717</v>
      </c>
      <c r="AD44" s="71">
        <f t="shared" si="16"/>
        <v>13407.875000000002</v>
      </c>
      <c r="AE44" s="71">
        <f t="shared" si="17"/>
        <v>4960.9137500000006</v>
      </c>
      <c r="AF44" s="75">
        <f t="shared" si="18"/>
        <v>49506</v>
      </c>
      <c r="AG44" s="67">
        <v>0.37</v>
      </c>
      <c r="AH44" s="113"/>
      <c r="AI44" s="112"/>
    </row>
    <row r="45" spans="1:35"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>
        <f>SUM(AE4:AE44)</f>
        <v>1231452.1281379201</v>
      </c>
      <c r="AG45" s="108"/>
      <c r="AH45" s="112"/>
      <c r="AI45" s="112"/>
    </row>
    <row r="46" spans="1:35"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</row>
    <row r="48" spans="1:35">
      <c r="AH48" s="112"/>
    </row>
  </sheetData>
  <mergeCells count="7">
    <mergeCell ref="A43:A44"/>
    <mergeCell ref="A4:A5"/>
    <mergeCell ref="A16:A18"/>
    <mergeCell ref="A19:A20"/>
    <mergeCell ref="A24:A25"/>
    <mergeCell ref="A32:A33"/>
    <mergeCell ref="A41:A4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5" sqref="C5"/>
    </sheetView>
  </sheetViews>
  <sheetFormatPr defaultRowHeight="12.75"/>
  <cols>
    <col min="1" max="1" width="48.28515625" style="23" customWidth="1"/>
    <col min="2" max="198" width="9.140625" style="1"/>
    <col min="199" max="199" width="3.7109375" style="1" customWidth="1"/>
    <col min="200" max="200" width="12.85546875" style="1" customWidth="1"/>
    <col min="201" max="201" width="37.5703125" style="1" bestFit="1" customWidth="1"/>
    <col min="202" max="202" width="13.85546875" style="1" customWidth="1"/>
    <col min="203" max="203" width="13" style="1" customWidth="1"/>
    <col min="204" max="204" width="13.42578125" style="1" customWidth="1"/>
    <col min="205" max="205" width="11.28515625" style="1" customWidth="1"/>
    <col min="206" max="206" width="20.85546875" style="1" bestFit="1" customWidth="1"/>
    <col min="207" max="207" width="13.28515625" style="1" customWidth="1"/>
    <col min="208" max="208" width="19.7109375" style="1" customWidth="1"/>
    <col min="209" max="209" width="11.5703125" style="1" customWidth="1"/>
    <col min="210" max="210" width="23.28515625" style="1" customWidth="1"/>
    <col min="211" max="211" width="15.5703125" style="1" customWidth="1"/>
    <col min="212" max="454" width="9.140625" style="1"/>
    <col min="455" max="455" width="3.7109375" style="1" customWidth="1"/>
    <col min="456" max="456" width="12.85546875" style="1" customWidth="1"/>
    <col min="457" max="457" width="37.5703125" style="1" bestFit="1" customWidth="1"/>
    <col min="458" max="458" width="13.85546875" style="1" customWidth="1"/>
    <col min="459" max="459" width="13" style="1" customWidth="1"/>
    <col min="460" max="460" width="13.42578125" style="1" customWidth="1"/>
    <col min="461" max="461" width="11.28515625" style="1" customWidth="1"/>
    <col min="462" max="462" width="20.85546875" style="1" bestFit="1" customWidth="1"/>
    <col min="463" max="463" width="13.28515625" style="1" customWidth="1"/>
    <col min="464" max="464" width="19.7109375" style="1" customWidth="1"/>
    <col min="465" max="465" width="11.5703125" style="1" customWidth="1"/>
    <col min="466" max="466" width="23.28515625" style="1" customWidth="1"/>
    <col min="467" max="467" width="15.5703125" style="1" customWidth="1"/>
    <col min="468" max="710" width="9.140625" style="1"/>
    <col min="711" max="711" width="3.7109375" style="1" customWidth="1"/>
    <col min="712" max="712" width="12.85546875" style="1" customWidth="1"/>
    <col min="713" max="713" width="37.5703125" style="1" bestFit="1" customWidth="1"/>
    <col min="714" max="714" width="13.85546875" style="1" customWidth="1"/>
    <col min="715" max="715" width="13" style="1" customWidth="1"/>
    <col min="716" max="716" width="13.42578125" style="1" customWidth="1"/>
    <col min="717" max="717" width="11.28515625" style="1" customWidth="1"/>
    <col min="718" max="718" width="20.85546875" style="1" bestFit="1" customWidth="1"/>
    <col min="719" max="719" width="13.28515625" style="1" customWidth="1"/>
    <col min="720" max="720" width="19.7109375" style="1" customWidth="1"/>
    <col min="721" max="721" width="11.5703125" style="1" customWidth="1"/>
    <col min="722" max="722" width="23.28515625" style="1" customWidth="1"/>
    <col min="723" max="723" width="15.5703125" style="1" customWidth="1"/>
    <col min="724" max="966" width="9.140625" style="1"/>
    <col min="967" max="967" width="3.7109375" style="1" customWidth="1"/>
    <col min="968" max="968" width="12.85546875" style="1" customWidth="1"/>
    <col min="969" max="969" width="37.5703125" style="1" bestFit="1" customWidth="1"/>
    <col min="970" max="970" width="13.85546875" style="1" customWidth="1"/>
    <col min="971" max="971" width="13" style="1" customWidth="1"/>
    <col min="972" max="972" width="13.42578125" style="1" customWidth="1"/>
    <col min="973" max="973" width="11.28515625" style="1" customWidth="1"/>
    <col min="974" max="974" width="20.85546875" style="1" bestFit="1" customWidth="1"/>
    <col min="975" max="975" width="13.28515625" style="1" customWidth="1"/>
    <col min="976" max="976" width="19.7109375" style="1" customWidth="1"/>
    <col min="977" max="977" width="11.5703125" style="1" customWidth="1"/>
    <col min="978" max="978" width="23.28515625" style="1" customWidth="1"/>
    <col min="979" max="979" width="15.5703125" style="1" customWidth="1"/>
    <col min="980" max="1222" width="9.140625" style="1"/>
    <col min="1223" max="1223" width="3.7109375" style="1" customWidth="1"/>
    <col min="1224" max="1224" width="12.85546875" style="1" customWidth="1"/>
    <col min="1225" max="1225" width="37.5703125" style="1" bestFit="1" customWidth="1"/>
    <col min="1226" max="1226" width="13.85546875" style="1" customWidth="1"/>
    <col min="1227" max="1227" width="13" style="1" customWidth="1"/>
    <col min="1228" max="1228" width="13.42578125" style="1" customWidth="1"/>
    <col min="1229" max="1229" width="11.28515625" style="1" customWidth="1"/>
    <col min="1230" max="1230" width="20.85546875" style="1" bestFit="1" customWidth="1"/>
    <col min="1231" max="1231" width="13.28515625" style="1" customWidth="1"/>
    <col min="1232" max="1232" width="19.7109375" style="1" customWidth="1"/>
    <col min="1233" max="1233" width="11.5703125" style="1" customWidth="1"/>
    <col min="1234" max="1234" width="23.28515625" style="1" customWidth="1"/>
    <col min="1235" max="1235" width="15.5703125" style="1" customWidth="1"/>
    <col min="1236" max="1478" width="9.140625" style="1"/>
    <col min="1479" max="1479" width="3.7109375" style="1" customWidth="1"/>
    <col min="1480" max="1480" width="12.85546875" style="1" customWidth="1"/>
    <col min="1481" max="1481" width="37.5703125" style="1" bestFit="1" customWidth="1"/>
    <col min="1482" max="1482" width="13.85546875" style="1" customWidth="1"/>
    <col min="1483" max="1483" width="13" style="1" customWidth="1"/>
    <col min="1484" max="1484" width="13.42578125" style="1" customWidth="1"/>
    <col min="1485" max="1485" width="11.28515625" style="1" customWidth="1"/>
    <col min="1486" max="1486" width="20.85546875" style="1" bestFit="1" customWidth="1"/>
    <col min="1487" max="1487" width="13.28515625" style="1" customWidth="1"/>
    <col min="1488" max="1488" width="19.7109375" style="1" customWidth="1"/>
    <col min="1489" max="1489" width="11.5703125" style="1" customWidth="1"/>
    <col min="1490" max="1490" width="23.28515625" style="1" customWidth="1"/>
    <col min="1491" max="1491" width="15.5703125" style="1" customWidth="1"/>
    <col min="1492" max="1734" width="9.140625" style="1"/>
    <col min="1735" max="1735" width="3.7109375" style="1" customWidth="1"/>
    <col min="1736" max="1736" width="12.85546875" style="1" customWidth="1"/>
    <col min="1737" max="1737" width="37.5703125" style="1" bestFit="1" customWidth="1"/>
    <col min="1738" max="1738" width="13.85546875" style="1" customWidth="1"/>
    <col min="1739" max="1739" width="13" style="1" customWidth="1"/>
    <col min="1740" max="1740" width="13.42578125" style="1" customWidth="1"/>
    <col min="1741" max="1741" width="11.28515625" style="1" customWidth="1"/>
    <col min="1742" max="1742" width="20.85546875" style="1" bestFit="1" customWidth="1"/>
    <col min="1743" max="1743" width="13.28515625" style="1" customWidth="1"/>
    <col min="1744" max="1744" width="19.7109375" style="1" customWidth="1"/>
    <col min="1745" max="1745" width="11.5703125" style="1" customWidth="1"/>
    <col min="1746" max="1746" width="23.28515625" style="1" customWidth="1"/>
    <col min="1747" max="1747" width="15.5703125" style="1" customWidth="1"/>
    <col min="1748" max="1990" width="9.140625" style="1"/>
    <col min="1991" max="1991" width="3.7109375" style="1" customWidth="1"/>
    <col min="1992" max="1992" width="12.85546875" style="1" customWidth="1"/>
    <col min="1993" max="1993" width="37.5703125" style="1" bestFit="1" customWidth="1"/>
    <col min="1994" max="1994" width="13.85546875" style="1" customWidth="1"/>
    <col min="1995" max="1995" width="13" style="1" customWidth="1"/>
    <col min="1996" max="1996" width="13.42578125" style="1" customWidth="1"/>
    <col min="1997" max="1997" width="11.28515625" style="1" customWidth="1"/>
    <col min="1998" max="1998" width="20.85546875" style="1" bestFit="1" customWidth="1"/>
    <col min="1999" max="1999" width="13.28515625" style="1" customWidth="1"/>
    <col min="2000" max="2000" width="19.7109375" style="1" customWidth="1"/>
    <col min="2001" max="2001" width="11.5703125" style="1" customWidth="1"/>
    <col min="2002" max="2002" width="23.28515625" style="1" customWidth="1"/>
    <col min="2003" max="2003" width="15.5703125" style="1" customWidth="1"/>
    <col min="2004" max="2246" width="9.140625" style="1"/>
    <col min="2247" max="2247" width="3.7109375" style="1" customWidth="1"/>
    <col min="2248" max="2248" width="12.85546875" style="1" customWidth="1"/>
    <col min="2249" max="2249" width="37.5703125" style="1" bestFit="1" customWidth="1"/>
    <col min="2250" max="2250" width="13.85546875" style="1" customWidth="1"/>
    <col min="2251" max="2251" width="13" style="1" customWidth="1"/>
    <col min="2252" max="2252" width="13.42578125" style="1" customWidth="1"/>
    <col min="2253" max="2253" width="11.28515625" style="1" customWidth="1"/>
    <col min="2254" max="2254" width="20.85546875" style="1" bestFit="1" customWidth="1"/>
    <col min="2255" max="2255" width="13.28515625" style="1" customWidth="1"/>
    <col min="2256" max="2256" width="19.7109375" style="1" customWidth="1"/>
    <col min="2257" max="2257" width="11.5703125" style="1" customWidth="1"/>
    <col min="2258" max="2258" width="23.28515625" style="1" customWidth="1"/>
    <col min="2259" max="2259" width="15.5703125" style="1" customWidth="1"/>
    <col min="2260" max="2502" width="9.140625" style="1"/>
    <col min="2503" max="2503" width="3.7109375" style="1" customWidth="1"/>
    <col min="2504" max="2504" width="12.85546875" style="1" customWidth="1"/>
    <col min="2505" max="2505" width="37.5703125" style="1" bestFit="1" customWidth="1"/>
    <col min="2506" max="2506" width="13.85546875" style="1" customWidth="1"/>
    <col min="2507" max="2507" width="13" style="1" customWidth="1"/>
    <col min="2508" max="2508" width="13.42578125" style="1" customWidth="1"/>
    <col min="2509" max="2509" width="11.28515625" style="1" customWidth="1"/>
    <col min="2510" max="2510" width="20.85546875" style="1" bestFit="1" customWidth="1"/>
    <col min="2511" max="2511" width="13.28515625" style="1" customWidth="1"/>
    <col min="2512" max="2512" width="19.7109375" style="1" customWidth="1"/>
    <col min="2513" max="2513" width="11.5703125" style="1" customWidth="1"/>
    <col min="2514" max="2514" width="23.28515625" style="1" customWidth="1"/>
    <col min="2515" max="2515" width="15.5703125" style="1" customWidth="1"/>
    <col min="2516" max="2758" width="9.140625" style="1"/>
    <col min="2759" max="2759" width="3.7109375" style="1" customWidth="1"/>
    <col min="2760" max="2760" width="12.85546875" style="1" customWidth="1"/>
    <col min="2761" max="2761" width="37.5703125" style="1" bestFit="1" customWidth="1"/>
    <col min="2762" max="2762" width="13.85546875" style="1" customWidth="1"/>
    <col min="2763" max="2763" width="13" style="1" customWidth="1"/>
    <col min="2764" max="2764" width="13.42578125" style="1" customWidth="1"/>
    <col min="2765" max="2765" width="11.28515625" style="1" customWidth="1"/>
    <col min="2766" max="2766" width="20.85546875" style="1" bestFit="1" customWidth="1"/>
    <col min="2767" max="2767" width="13.28515625" style="1" customWidth="1"/>
    <col min="2768" max="2768" width="19.7109375" style="1" customWidth="1"/>
    <col min="2769" max="2769" width="11.5703125" style="1" customWidth="1"/>
    <col min="2770" max="2770" width="23.28515625" style="1" customWidth="1"/>
    <col min="2771" max="2771" width="15.5703125" style="1" customWidth="1"/>
    <col min="2772" max="3014" width="9.140625" style="1"/>
    <col min="3015" max="3015" width="3.7109375" style="1" customWidth="1"/>
    <col min="3016" max="3016" width="12.85546875" style="1" customWidth="1"/>
    <col min="3017" max="3017" width="37.5703125" style="1" bestFit="1" customWidth="1"/>
    <col min="3018" max="3018" width="13.85546875" style="1" customWidth="1"/>
    <col min="3019" max="3019" width="13" style="1" customWidth="1"/>
    <col min="3020" max="3020" width="13.42578125" style="1" customWidth="1"/>
    <col min="3021" max="3021" width="11.28515625" style="1" customWidth="1"/>
    <col min="3022" max="3022" width="20.85546875" style="1" bestFit="1" customWidth="1"/>
    <col min="3023" max="3023" width="13.28515625" style="1" customWidth="1"/>
    <col min="3024" max="3024" width="19.7109375" style="1" customWidth="1"/>
    <col min="3025" max="3025" width="11.5703125" style="1" customWidth="1"/>
    <col min="3026" max="3026" width="23.28515625" style="1" customWidth="1"/>
    <col min="3027" max="3027" width="15.5703125" style="1" customWidth="1"/>
    <col min="3028" max="3270" width="9.140625" style="1"/>
    <col min="3271" max="3271" width="3.7109375" style="1" customWidth="1"/>
    <col min="3272" max="3272" width="12.85546875" style="1" customWidth="1"/>
    <col min="3273" max="3273" width="37.5703125" style="1" bestFit="1" customWidth="1"/>
    <col min="3274" max="3274" width="13.85546875" style="1" customWidth="1"/>
    <col min="3275" max="3275" width="13" style="1" customWidth="1"/>
    <col min="3276" max="3276" width="13.42578125" style="1" customWidth="1"/>
    <col min="3277" max="3277" width="11.28515625" style="1" customWidth="1"/>
    <col min="3278" max="3278" width="20.85546875" style="1" bestFit="1" customWidth="1"/>
    <col min="3279" max="3279" width="13.28515625" style="1" customWidth="1"/>
    <col min="3280" max="3280" width="19.7109375" style="1" customWidth="1"/>
    <col min="3281" max="3281" width="11.5703125" style="1" customWidth="1"/>
    <col min="3282" max="3282" width="23.28515625" style="1" customWidth="1"/>
    <col min="3283" max="3283" width="15.5703125" style="1" customWidth="1"/>
    <col min="3284" max="3526" width="9.140625" style="1"/>
    <col min="3527" max="3527" width="3.7109375" style="1" customWidth="1"/>
    <col min="3528" max="3528" width="12.85546875" style="1" customWidth="1"/>
    <col min="3529" max="3529" width="37.5703125" style="1" bestFit="1" customWidth="1"/>
    <col min="3530" max="3530" width="13.85546875" style="1" customWidth="1"/>
    <col min="3531" max="3531" width="13" style="1" customWidth="1"/>
    <col min="3532" max="3532" width="13.42578125" style="1" customWidth="1"/>
    <col min="3533" max="3533" width="11.28515625" style="1" customWidth="1"/>
    <col min="3534" max="3534" width="20.85546875" style="1" bestFit="1" customWidth="1"/>
    <col min="3535" max="3535" width="13.28515625" style="1" customWidth="1"/>
    <col min="3536" max="3536" width="19.7109375" style="1" customWidth="1"/>
    <col min="3537" max="3537" width="11.5703125" style="1" customWidth="1"/>
    <col min="3538" max="3538" width="23.28515625" style="1" customWidth="1"/>
    <col min="3539" max="3539" width="15.5703125" style="1" customWidth="1"/>
    <col min="3540" max="3782" width="9.140625" style="1"/>
    <col min="3783" max="3783" width="3.7109375" style="1" customWidth="1"/>
    <col min="3784" max="3784" width="12.85546875" style="1" customWidth="1"/>
    <col min="3785" max="3785" width="37.5703125" style="1" bestFit="1" customWidth="1"/>
    <col min="3786" max="3786" width="13.85546875" style="1" customWidth="1"/>
    <col min="3787" max="3787" width="13" style="1" customWidth="1"/>
    <col min="3788" max="3788" width="13.42578125" style="1" customWidth="1"/>
    <col min="3789" max="3789" width="11.28515625" style="1" customWidth="1"/>
    <col min="3790" max="3790" width="20.85546875" style="1" bestFit="1" customWidth="1"/>
    <col min="3791" max="3791" width="13.28515625" style="1" customWidth="1"/>
    <col min="3792" max="3792" width="19.7109375" style="1" customWidth="1"/>
    <col min="3793" max="3793" width="11.5703125" style="1" customWidth="1"/>
    <col min="3794" max="3794" width="23.28515625" style="1" customWidth="1"/>
    <col min="3795" max="3795" width="15.5703125" style="1" customWidth="1"/>
    <col min="3796" max="4038" width="9.140625" style="1"/>
    <col min="4039" max="4039" width="3.7109375" style="1" customWidth="1"/>
    <col min="4040" max="4040" width="12.85546875" style="1" customWidth="1"/>
    <col min="4041" max="4041" width="37.5703125" style="1" bestFit="1" customWidth="1"/>
    <col min="4042" max="4042" width="13.85546875" style="1" customWidth="1"/>
    <col min="4043" max="4043" width="13" style="1" customWidth="1"/>
    <col min="4044" max="4044" width="13.42578125" style="1" customWidth="1"/>
    <col min="4045" max="4045" width="11.28515625" style="1" customWidth="1"/>
    <col min="4046" max="4046" width="20.85546875" style="1" bestFit="1" customWidth="1"/>
    <col min="4047" max="4047" width="13.28515625" style="1" customWidth="1"/>
    <col min="4048" max="4048" width="19.7109375" style="1" customWidth="1"/>
    <col min="4049" max="4049" width="11.5703125" style="1" customWidth="1"/>
    <col min="4050" max="4050" width="23.28515625" style="1" customWidth="1"/>
    <col min="4051" max="4051" width="15.5703125" style="1" customWidth="1"/>
    <col min="4052" max="4294" width="9.140625" style="1"/>
    <col min="4295" max="4295" width="3.7109375" style="1" customWidth="1"/>
    <col min="4296" max="4296" width="12.85546875" style="1" customWidth="1"/>
    <col min="4297" max="4297" width="37.5703125" style="1" bestFit="1" customWidth="1"/>
    <col min="4298" max="4298" width="13.85546875" style="1" customWidth="1"/>
    <col min="4299" max="4299" width="13" style="1" customWidth="1"/>
    <col min="4300" max="4300" width="13.42578125" style="1" customWidth="1"/>
    <col min="4301" max="4301" width="11.28515625" style="1" customWidth="1"/>
    <col min="4302" max="4302" width="20.85546875" style="1" bestFit="1" customWidth="1"/>
    <col min="4303" max="4303" width="13.28515625" style="1" customWidth="1"/>
    <col min="4304" max="4304" width="19.7109375" style="1" customWidth="1"/>
    <col min="4305" max="4305" width="11.5703125" style="1" customWidth="1"/>
    <col min="4306" max="4306" width="23.28515625" style="1" customWidth="1"/>
    <col min="4307" max="4307" width="15.5703125" style="1" customWidth="1"/>
    <col min="4308" max="4550" width="9.140625" style="1"/>
    <col min="4551" max="4551" width="3.7109375" style="1" customWidth="1"/>
    <col min="4552" max="4552" width="12.85546875" style="1" customWidth="1"/>
    <col min="4553" max="4553" width="37.5703125" style="1" bestFit="1" customWidth="1"/>
    <col min="4554" max="4554" width="13.85546875" style="1" customWidth="1"/>
    <col min="4555" max="4555" width="13" style="1" customWidth="1"/>
    <col min="4556" max="4556" width="13.42578125" style="1" customWidth="1"/>
    <col min="4557" max="4557" width="11.28515625" style="1" customWidth="1"/>
    <col min="4558" max="4558" width="20.85546875" style="1" bestFit="1" customWidth="1"/>
    <col min="4559" max="4559" width="13.28515625" style="1" customWidth="1"/>
    <col min="4560" max="4560" width="19.7109375" style="1" customWidth="1"/>
    <col min="4561" max="4561" width="11.5703125" style="1" customWidth="1"/>
    <col min="4562" max="4562" width="23.28515625" style="1" customWidth="1"/>
    <col min="4563" max="4563" width="15.5703125" style="1" customWidth="1"/>
    <col min="4564" max="4806" width="9.140625" style="1"/>
    <col min="4807" max="4807" width="3.7109375" style="1" customWidth="1"/>
    <col min="4808" max="4808" width="12.85546875" style="1" customWidth="1"/>
    <col min="4809" max="4809" width="37.5703125" style="1" bestFit="1" customWidth="1"/>
    <col min="4810" max="4810" width="13.85546875" style="1" customWidth="1"/>
    <col min="4811" max="4811" width="13" style="1" customWidth="1"/>
    <col min="4812" max="4812" width="13.42578125" style="1" customWidth="1"/>
    <col min="4813" max="4813" width="11.28515625" style="1" customWidth="1"/>
    <col min="4814" max="4814" width="20.85546875" style="1" bestFit="1" customWidth="1"/>
    <col min="4815" max="4815" width="13.28515625" style="1" customWidth="1"/>
    <col min="4816" max="4816" width="19.7109375" style="1" customWidth="1"/>
    <col min="4817" max="4817" width="11.5703125" style="1" customWidth="1"/>
    <col min="4818" max="4818" width="23.28515625" style="1" customWidth="1"/>
    <col min="4819" max="4819" width="15.5703125" style="1" customWidth="1"/>
    <col min="4820" max="5062" width="9.140625" style="1"/>
    <col min="5063" max="5063" width="3.7109375" style="1" customWidth="1"/>
    <col min="5064" max="5064" width="12.85546875" style="1" customWidth="1"/>
    <col min="5065" max="5065" width="37.5703125" style="1" bestFit="1" customWidth="1"/>
    <col min="5066" max="5066" width="13.85546875" style="1" customWidth="1"/>
    <col min="5067" max="5067" width="13" style="1" customWidth="1"/>
    <col min="5068" max="5068" width="13.42578125" style="1" customWidth="1"/>
    <col min="5069" max="5069" width="11.28515625" style="1" customWidth="1"/>
    <col min="5070" max="5070" width="20.85546875" style="1" bestFit="1" customWidth="1"/>
    <col min="5071" max="5071" width="13.28515625" style="1" customWidth="1"/>
    <col min="5072" max="5072" width="19.7109375" style="1" customWidth="1"/>
    <col min="5073" max="5073" width="11.5703125" style="1" customWidth="1"/>
    <col min="5074" max="5074" width="23.28515625" style="1" customWidth="1"/>
    <col min="5075" max="5075" width="15.5703125" style="1" customWidth="1"/>
    <col min="5076" max="5318" width="9.140625" style="1"/>
    <col min="5319" max="5319" width="3.7109375" style="1" customWidth="1"/>
    <col min="5320" max="5320" width="12.85546875" style="1" customWidth="1"/>
    <col min="5321" max="5321" width="37.5703125" style="1" bestFit="1" customWidth="1"/>
    <col min="5322" max="5322" width="13.85546875" style="1" customWidth="1"/>
    <col min="5323" max="5323" width="13" style="1" customWidth="1"/>
    <col min="5324" max="5324" width="13.42578125" style="1" customWidth="1"/>
    <col min="5325" max="5325" width="11.28515625" style="1" customWidth="1"/>
    <col min="5326" max="5326" width="20.85546875" style="1" bestFit="1" customWidth="1"/>
    <col min="5327" max="5327" width="13.28515625" style="1" customWidth="1"/>
    <col min="5328" max="5328" width="19.7109375" style="1" customWidth="1"/>
    <col min="5329" max="5329" width="11.5703125" style="1" customWidth="1"/>
    <col min="5330" max="5330" width="23.28515625" style="1" customWidth="1"/>
    <col min="5331" max="5331" width="15.5703125" style="1" customWidth="1"/>
    <col min="5332" max="5574" width="9.140625" style="1"/>
    <col min="5575" max="5575" width="3.7109375" style="1" customWidth="1"/>
    <col min="5576" max="5576" width="12.85546875" style="1" customWidth="1"/>
    <col min="5577" max="5577" width="37.5703125" style="1" bestFit="1" customWidth="1"/>
    <col min="5578" max="5578" width="13.85546875" style="1" customWidth="1"/>
    <col min="5579" max="5579" width="13" style="1" customWidth="1"/>
    <col min="5580" max="5580" width="13.42578125" style="1" customWidth="1"/>
    <col min="5581" max="5581" width="11.28515625" style="1" customWidth="1"/>
    <col min="5582" max="5582" width="20.85546875" style="1" bestFit="1" customWidth="1"/>
    <col min="5583" max="5583" width="13.28515625" style="1" customWidth="1"/>
    <col min="5584" max="5584" width="19.7109375" style="1" customWidth="1"/>
    <col min="5585" max="5585" width="11.5703125" style="1" customWidth="1"/>
    <col min="5586" max="5586" width="23.28515625" style="1" customWidth="1"/>
    <col min="5587" max="5587" width="15.5703125" style="1" customWidth="1"/>
    <col min="5588" max="5830" width="9.140625" style="1"/>
    <col min="5831" max="5831" width="3.7109375" style="1" customWidth="1"/>
    <col min="5832" max="5832" width="12.85546875" style="1" customWidth="1"/>
    <col min="5833" max="5833" width="37.5703125" style="1" bestFit="1" customWidth="1"/>
    <col min="5834" max="5834" width="13.85546875" style="1" customWidth="1"/>
    <col min="5835" max="5835" width="13" style="1" customWidth="1"/>
    <col min="5836" max="5836" width="13.42578125" style="1" customWidth="1"/>
    <col min="5837" max="5837" width="11.28515625" style="1" customWidth="1"/>
    <col min="5838" max="5838" width="20.85546875" style="1" bestFit="1" customWidth="1"/>
    <col min="5839" max="5839" width="13.28515625" style="1" customWidth="1"/>
    <col min="5840" max="5840" width="19.7109375" style="1" customWidth="1"/>
    <col min="5841" max="5841" width="11.5703125" style="1" customWidth="1"/>
    <col min="5842" max="5842" width="23.28515625" style="1" customWidth="1"/>
    <col min="5843" max="5843" width="15.5703125" style="1" customWidth="1"/>
    <col min="5844" max="6086" width="9.140625" style="1"/>
    <col min="6087" max="6087" width="3.7109375" style="1" customWidth="1"/>
    <col min="6088" max="6088" width="12.85546875" style="1" customWidth="1"/>
    <col min="6089" max="6089" width="37.5703125" style="1" bestFit="1" customWidth="1"/>
    <col min="6090" max="6090" width="13.85546875" style="1" customWidth="1"/>
    <col min="6091" max="6091" width="13" style="1" customWidth="1"/>
    <col min="6092" max="6092" width="13.42578125" style="1" customWidth="1"/>
    <col min="6093" max="6093" width="11.28515625" style="1" customWidth="1"/>
    <col min="6094" max="6094" width="20.85546875" style="1" bestFit="1" customWidth="1"/>
    <col min="6095" max="6095" width="13.28515625" style="1" customWidth="1"/>
    <col min="6096" max="6096" width="19.7109375" style="1" customWidth="1"/>
    <col min="6097" max="6097" width="11.5703125" style="1" customWidth="1"/>
    <col min="6098" max="6098" width="23.28515625" style="1" customWidth="1"/>
    <col min="6099" max="6099" width="15.5703125" style="1" customWidth="1"/>
    <col min="6100" max="6342" width="9.140625" style="1"/>
    <col min="6343" max="6343" width="3.7109375" style="1" customWidth="1"/>
    <col min="6344" max="6344" width="12.85546875" style="1" customWidth="1"/>
    <col min="6345" max="6345" width="37.5703125" style="1" bestFit="1" customWidth="1"/>
    <col min="6346" max="6346" width="13.85546875" style="1" customWidth="1"/>
    <col min="6347" max="6347" width="13" style="1" customWidth="1"/>
    <col min="6348" max="6348" width="13.42578125" style="1" customWidth="1"/>
    <col min="6349" max="6349" width="11.28515625" style="1" customWidth="1"/>
    <col min="6350" max="6350" width="20.85546875" style="1" bestFit="1" customWidth="1"/>
    <col min="6351" max="6351" width="13.28515625" style="1" customWidth="1"/>
    <col min="6352" max="6352" width="19.7109375" style="1" customWidth="1"/>
    <col min="6353" max="6353" width="11.5703125" style="1" customWidth="1"/>
    <col min="6354" max="6354" width="23.28515625" style="1" customWidth="1"/>
    <col min="6355" max="6355" width="15.5703125" style="1" customWidth="1"/>
    <col min="6356" max="6598" width="9.140625" style="1"/>
    <col min="6599" max="6599" width="3.7109375" style="1" customWidth="1"/>
    <col min="6600" max="6600" width="12.85546875" style="1" customWidth="1"/>
    <col min="6601" max="6601" width="37.5703125" style="1" bestFit="1" customWidth="1"/>
    <col min="6602" max="6602" width="13.85546875" style="1" customWidth="1"/>
    <col min="6603" max="6603" width="13" style="1" customWidth="1"/>
    <col min="6604" max="6604" width="13.42578125" style="1" customWidth="1"/>
    <col min="6605" max="6605" width="11.28515625" style="1" customWidth="1"/>
    <col min="6606" max="6606" width="20.85546875" style="1" bestFit="1" customWidth="1"/>
    <col min="6607" max="6607" width="13.28515625" style="1" customWidth="1"/>
    <col min="6608" max="6608" width="19.7109375" style="1" customWidth="1"/>
    <col min="6609" max="6609" width="11.5703125" style="1" customWidth="1"/>
    <col min="6610" max="6610" width="23.28515625" style="1" customWidth="1"/>
    <col min="6611" max="6611" width="15.5703125" style="1" customWidth="1"/>
    <col min="6612" max="6854" width="9.140625" style="1"/>
    <col min="6855" max="6855" width="3.7109375" style="1" customWidth="1"/>
    <col min="6856" max="6856" width="12.85546875" style="1" customWidth="1"/>
    <col min="6857" max="6857" width="37.5703125" style="1" bestFit="1" customWidth="1"/>
    <col min="6858" max="6858" width="13.85546875" style="1" customWidth="1"/>
    <col min="6859" max="6859" width="13" style="1" customWidth="1"/>
    <col min="6860" max="6860" width="13.42578125" style="1" customWidth="1"/>
    <col min="6861" max="6861" width="11.28515625" style="1" customWidth="1"/>
    <col min="6862" max="6862" width="20.85546875" style="1" bestFit="1" customWidth="1"/>
    <col min="6863" max="6863" width="13.28515625" style="1" customWidth="1"/>
    <col min="6864" max="6864" width="19.7109375" style="1" customWidth="1"/>
    <col min="6865" max="6865" width="11.5703125" style="1" customWidth="1"/>
    <col min="6866" max="6866" width="23.28515625" style="1" customWidth="1"/>
    <col min="6867" max="6867" width="15.5703125" style="1" customWidth="1"/>
    <col min="6868" max="7110" width="9.140625" style="1"/>
    <col min="7111" max="7111" width="3.7109375" style="1" customWidth="1"/>
    <col min="7112" max="7112" width="12.85546875" style="1" customWidth="1"/>
    <col min="7113" max="7113" width="37.5703125" style="1" bestFit="1" customWidth="1"/>
    <col min="7114" max="7114" width="13.85546875" style="1" customWidth="1"/>
    <col min="7115" max="7115" width="13" style="1" customWidth="1"/>
    <col min="7116" max="7116" width="13.42578125" style="1" customWidth="1"/>
    <col min="7117" max="7117" width="11.28515625" style="1" customWidth="1"/>
    <col min="7118" max="7118" width="20.85546875" style="1" bestFit="1" customWidth="1"/>
    <col min="7119" max="7119" width="13.28515625" style="1" customWidth="1"/>
    <col min="7120" max="7120" width="19.7109375" style="1" customWidth="1"/>
    <col min="7121" max="7121" width="11.5703125" style="1" customWidth="1"/>
    <col min="7122" max="7122" width="23.28515625" style="1" customWidth="1"/>
    <col min="7123" max="7123" width="15.5703125" style="1" customWidth="1"/>
    <col min="7124" max="7366" width="9.140625" style="1"/>
    <col min="7367" max="7367" width="3.7109375" style="1" customWidth="1"/>
    <col min="7368" max="7368" width="12.85546875" style="1" customWidth="1"/>
    <col min="7369" max="7369" width="37.5703125" style="1" bestFit="1" customWidth="1"/>
    <col min="7370" max="7370" width="13.85546875" style="1" customWidth="1"/>
    <col min="7371" max="7371" width="13" style="1" customWidth="1"/>
    <col min="7372" max="7372" width="13.42578125" style="1" customWidth="1"/>
    <col min="7373" max="7373" width="11.28515625" style="1" customWidth="1"/>
    <col min="7374" max="7374" width="20.85546875" style="1" bestFit="1" customWidth="1"/>
    <col min="7375" max="7375" width="13.28515625" style="1" customWidth="1"/>
    <col min="7376" max="7376" width="19.7109375" style="1" customWidth="1"/>
    <col min="7377" max="7377" width="11.5703125" style="1" customWidth="1"/>
    <col min="7378" max="7378" width="23.28515625" style="1" customWidth="1"/>
    <col min="7379" max="7379" width="15.5703125" style="1" customWidth="1"/>
    <col min="7380" max="7622" width="9.140625" style="1"/>
    <col min="7623" max="7623" width="3.7109375" style="1" customWidth="1"/>
    <col min="7624" max="7624" width="12.85546875" style="1" customWidth="1"/>
    <col min="7625" max="7625" width="37.5703125" style="1" bestFit="1" customWidth="1"/>
    <col min="7626" max="7626" width="13.85546875" style="1" customWidth="1"/>
    <col min="7627" max="7627" width="13" style="1" customWidth="1"/>
    <col min="7628" max="7628" width="13.42578125" style="1" customWidth="1"/>
    <col min="7629" max="7629" width="11.28515625" style="1" customWidth="1"/>
    <col min="7630" max="7630" width="20.85546875" style="1" bestFit="1" customWidth="1"/>
    <col min="7631" max="7631" width="13.28515625" style="1" customWidth="1"/>
    <col min="7632" max="7632" width="19.7109375" style="1" customWidth="1"/>
    <col min="7633" max="7633" width="11.5703125" style="1" customWidth="1"/>
    <col min="7634" max="7634" width="23.28515625" style="1" customWidth="1"/>
    <col min="7635" max="7635" width="15.5703125" style="1" customWidth="1"/>
    <col min="7636" max="7878" width="9.140625" style="1"/>
    <col min="7879" max="7879" width="3.7109375" style="1" customWidth="1"/>
    <col min="7880" max="7880" width="12.85546875" style="1" customWidth="1"/>
    <col min="7881" max="7881" width="37.5703125" style="1" bestFit="1" customWidth="1"/>
    <col min="7882" max="7882" width="13.85546875" style="1" customWidth="1"/>
    <col min="7883" max="7883" width="13" style="1" customWidth="1"/>
    <col min="7884" max="7884" width="13.42578125" style="1" customWidth="1"/>
    <col min="7885" max="7885" width="11.28515625" style="1" customWidth="1"/>
    <col min="7886" max="7886" width="20.85546875" style="1" bestFit="1" customWidth="1"/>
    <col min="7887" max="7887" width="13.28515625" style="1" customWidth="1"/>
    <col min="7888" max="7888" width="19.7109375" style="1" customWidth="1"/>
    <col min="7889" max="7889" width="11.5703125" style="1" customWidth="1"/>
    <col min="7890" max="7890" width="23.28515625" style="1" customWidth="1"/>
    <col min="7891" max="7891" width="15.5703125" style="1" customWidth="1"/>
    <col min="7892" max="8134" width="9.140625" style="1"/>
    <col min="8135" max="8135" width="3.7109375" style="1" customWidth="1"/>
    <col min="8136" max="8136" width="12.85546875" style="1" customWidth="1"/>
    <col min="8137" max="8137" width="37.5703125" style="1" bestFit="1" customWidth="1"/>
    <col min="8138" max="8138" width="13.85546875" style="1" customWidth="1"/>
    <col min="8139" max="8139" width="13" style="1" customWidth="1"/>
    <col min="8140" max="8140" width="13.42578125" style="1" customWidth="1"/>
    <col min="8141" max="8141" width="11.28515625" style="1" customWidth="1"/>
    <col min="8142" max="8142" width="20.85546875" style="1" bestFit="1" customWidth="1"/>
    <col min="8143" max="8143" width="13.28515625" style="1" customWidth="1"/>
    <col min="8144" max="8144" width="19.7109375" style="1" customWidth="1"/>
    <col min="8145" max="8145" width="11.5703125" style="1" customWidth="1"/>
    <col min="8146" max="8146" width="23.28515625" style="1" customWidth="1"/>
    <col min="8147" max="8147" width="15.5703125" style="1" customWidth="1"/>
    <col min="8148" max="8390" width="9.140625" style="1"/>
    <col min="8391" max="8391" width="3.7109375" style="1" customWidth="1"/>
    <col min="8392" max="8392" width="12.85546875" style="1" customWidth="1"/>
    <col min="8393" max="8393" width="37.5703125" style="1" bestFit="1" customWidth="1"/>
    <col min="8394" max="8394" width="13.85546875" style="1" customWidth="1"/>
    <col min="8395" max="8395" width="13" style="1" customWidth="1"/>
    <col min="8396" max="8396" width="13.42578125" style="1" customWidth="1"/>
    <col min="8397" max="8397" width="11.28515625" style="1" customWidth="1"/>
    <col min="8398" max="8398" width="20.85546875" style="1" bestFit="1" customWidth="1"/>
    <col min="8399" max="8399" width="13.28515625" style="1" customWidth="1"/>
    <col min="8400" max="8400" width="19.7109375" style="1" customWidth="1"/>
    <col min="8401" max="8401" width="11.5703125" style="1" customWidth="1"/>
    <col min="8402" max="8402" width="23.28515625" style="1" customWidth="1"/>
    <col min="8403" max="8403" width="15.5703125" style="1" customWidth="1"/>
    <col min="8404" max="8646" width="9.140625" style="1"/>
    <col min="8647" max="8647" width="3.7109375" style="1" customWidth="1"/>
    <col min="8648" max="8648" width="12.85546875" style="1" customWidth="1"/>
    <col min="8649" max="8649" width="37.5703125" style="1" bestFit="1" customWidth="1"/>
    <col min="8650" max="8650" width="13.85546875" style="1" customWidth="1"/>
    <col min="8651" max="8651" width="13" style="1" customWidth="1"/>
    <col min="8652" max="8652" width="13.42578125" style="1" customWidth="1"/>
    <col min="8653" max="8653" width="11.28515625" style="1" customWidth="1"/>
    <col min="8654" max="8654" width="20.85546875" style="1" bestFit="1" customWidth="1"/>
    <col min="8655" max="8655" width="13.28515625" style="1" customWidth="1"/>
    <col min="8656" max="8656" width="19.7109375" style="1" customWidth="1"/>
    <col min="8657" max="8657" width="11.5703125" style="1" customWidth="1"/>
    <col min="8658" max="8658" width="23.28515625" style="1" customWidth="1"/>
    <col min="8659" max="8659" width="15.5703125" style="1" customWidth="1"/>
    <col min="8660" max="8902" width="9.140625" style="1"/>
    <col min="8903" max="8903" width="3.7109375" style="1" customWidth="1"/>
    <col min="8904" max="8904" width="12.85546875" style="1" customWidth="1"/>
    <col min="8905" max="8905" width="37.5703125" style="1" bestFit="1" customWidth="1"/>
    <col min="8906" max="8906" width="13.85546875" style="1" customWidth="1"/>
    <col min="8907" max="8907" width="13" style="1" customWidth="1"/>
    <col min="8908" max="8908" width="13.42578125" style="1" customWidth="1"/>
    <col min="8909" max="8909" width="11.28515625" style="1" customWidth="1"/>
    <col min="8910" max="8910" width="20.85546875" style="1" bestFit="1" customWidth="1"/>
    <col min="8911" max="8911" width="13.28515625" style="1" customWidth="1"/>
    <col min="8912" max="8912" width="19.7109375" style="1" customWidth="1"/>
    <col min="8913" max="8913" width="11.5703125" style="1" customWidth="1"/>
    <col min="8914" max="8914" width="23.28515625" style="1" customWidth="1"/>
    <col min="8915" max="8915" width="15.5703125" style="1" customWidth="1"/>
    <col min="8916" max="9158" width="9.140625" style="1"/>
    <col min="9159" max="9159" width="3.7109375" style="1" customWidth="1"/>
    <col min="9160" max="9160" width="12.85546875" style="1" customWidth="1"/>
    <col min="9161" max="9161" width="37.5703125" style="1" bestFit="1" customWidth="1"/>
    <col min="9162" max="9162" width="13.85546875" style="1" customWidth="1"/>
    <col min="9163" max="9163" width="13" style="1" customWidth="1"/>
    <col min="9164" max="9164" width="13.42578125" style="1" customWidth="1"/>
    <col min="9165" max="9165" width="11.28515625" style="1" customWidth="1"/>
    <col min="9166" max="9166" width="20.85546875" style="1" bestFit="1" customWidth="1"/>
    <col min="9167" max="9167" width="13.28515625" style="1" customWidth="1"/>
    <col min="9168" max="9168" width="19.7109375" style="1" customWidth="1"/>
    <col min="9169" max="9169" width="11.5703125" style="1" customWidth="1"/>
    <col min="9170" max="9170" width="23.28515625" style="1" customWidth="1"/>
    <col min="9171" max="9171" width="15.5703125" style="1" customWidth="1"/>
    <col min="9172" max="9414" width="9.140625" style="1"/>
    <col min="9415" max="9415" width="3.7109375" style="1" customWidth="1"/>
    <col min="9416" max="9416" width="12.85546875" style="1" customWidth="1"/>
    <col min="9417" max="9417" width="37.5703125" style="1" bestFit="1" customWidth="1"/>
    <col min="9418" max="9418" width="13.85546875" style="1" customWidth="1"/>
    <col min="9419" max="9419" width="13" style="1" customWidth="1"/>
    <col min="9420" max="9420" width="13.42578125" style="1" customWidth="1"/>
    <col min="9421" max="9421" width="11.28515625" style="1" customWidth="1"/>
    <col min="9422" max="9422" width="20.85546875" style="1" bestFit="1" customWidth="1"/>
    <col min="9423" max="9423" width="13.28515625" style="1" customWidth="1"/>
    <col min="9424" max="9424" width="19.7109375" style="1" customWidth="1"/>
    <col min="9425" max="9425" width="11.5703125" style="1" customWidth="1"/>
    <col min="9426" max="9426" width="23.28515625" style="1" customWidth="1"/>
    <col min="9427" max="9427" width="15.5703125" style="1" customWidth="1"/>
    <col min="9428" max="9670" width="9.140625" style="1"/>
    <col min="9671" max="9671" width="3.7109375" style="1" customWidth="1"/>
    <col min="9672" max="9672" width="12.85546875" style="1" customWidth="1"/>
    <col min="9673" max="9673" width="37.5703125" style="1" bestFit="1" customWidth="1"/>
    <col min="9674" max="9674" width="13.85546875" style="1" customWidth="1"/>
    <col min="9675" max="9675" width="13" style="1" customWidth="1"/>
    <col min="9676" max="9676" width="13.42578125" style="1" customWidth="1"/>
    <col min="9677" max="9677" width="11.28515625" style="1" customWidth="1"/>
    <col min="9678" max="9678" width="20.85546875" style="1" bestFit="1" customWidth="1"/>
    <col min="9679" max="9679" width="13.28515625" style="1" customWidth="1"/>
    <col min="9680" max="9680" width="19.7109375" style="1" customWidth="1"/>
    <col min="9681" max="9681" width="11.5703125" style="1" customWidth="1"/>
    <col min="9682" max="9682" width="23.28515625" style="1" customWidth="1"/>
    <col min="9683" max="9683" width="15.5703125" style="1" customWidth="1"/>
    <col min="9684" max="9926" width="9.140625" style="1"/>
    <col min="9927" max="9927" width="3.7109375" style="1" customWidth="1"/>
    <col min="9928" max="9928" width="12.85546875" style="1" customWidth="1"/>
    <col min="9929" max="9929" width="37.5703125" style="1" bestFit="1" customWidth="1"/>
    <col min="9930" max="9930" width="13.85546875" style="1" customWidth="1"/>
    <col min="9931" max="9931" width="13" style="1" customWidth="1"/>
    <col min="9932" max="9932" width="13.42578125" style="1" customWidth="1"/>
    <col min="9933" max="9933" width="11.28515625" style="1" customWidth="1"/>
    <col min="9934" max="9934" width="20.85546875" style="1" bestFit="1" customWidth="1"/>
    <col min="9935" max="9935" width="13.28515625" style="1" customWidth="1"/>
    <col min="9936" max="9936" width="19.7109375" style="1" customWidth="1"/>
    <col min="9937" max="9937" width="11.5703125" style="1" customWidth="1"/>
    <col min="9938" max="9938" width="23.28515625" style="1" customWidth="1"/>
    <col min="9939" max="9939" width="15.5703125" style="1" customWidth="1"/>
    <col min="9940" max="10182" width="9.140625" style="1"/>
    <col min="10183" max="10183" width="3.7109375" style="1" customWidth="1"/>
    <col min="10184" max="10184" width="12.85546875" style="1" customWidth="1"/>
    <col min="10185" max="10185" width="37.5703125" style="1" bestFit="1" customWidth="1"/>
    <col min="10186" max="10186" width="13.85546875" style="1" customWidth="1"/>
    <col min="10187" max="10187" width="13" style="1" customWidth="1"/>
    <col min="10188" max="10188" width="13.42578125" style="1" customWidth="1"/>
    <col min="10189" max="10189" width="11.28515625" style="1" customWidth="1"/>
    <col min="10190" max="10190" width="20.85546875" style="1" bestFit="1" customWidth="1"/>
    <col min="10191" max="10191" width="13.28515625" style="1" customWidth="1"/>
    <col min="10192" max="10192" width="19.7109375" style="1" customWidth="1"/>
    <col min="10193" max="10193" width="11.5703125" style="1" customWidth="1"/>
    <col min="10194" max="10194" width="23.28515625" style="1" customWidth="1"/>
    <col min="10195" max="10195" width="15.5703125" style="1" customWidth="1"/>
    <col min="10196" max="10438" width="9.140625" style="1"/>
    <col min="10439" max="10439" width="3.7109375" style="1" customWidth="1"/>
    <col min="10440" max="10440" width="12.85546875" style="1" customWidth="1"/>
    <col min="10441" max="10441" width="37.5703125" style="1" bestFit="1" customWidth="1"/>
    <col min="10442" max="10442" width="13.85546875" style="1" customWidth="1"/>
    <col min="10443" max="10443" width="13" style="1" customWidth="1"/>
    <col min="10444" max="10444" width="13.42578125" style="1" customWidth="1"/>
    <col min="10445" max="10445" width="11.28515625" style="1" customWidth="1"/>
    <col min="10446" max="10446" width="20.85546875" style="1" bestFit="1" customWidth="1"/>
    <col min="10447" max="10447" width="13.28515625" style="1" customWidth="1"/>
    <col min="10448" max="10448" width="19.7109375" style="1" customWidth="1"/>
    <col min="10449" max="10449" width="11.5703125" style="1" customWidth="1"/>
    <col min="10450" max="10450" width="23.28515625" style="1" customWidth="1"/>
    <col min="10451" max="10451" width="15.5703125" style="1" customWidth="1"/>
    <col min="10452" max="10694" width="9.140625" style="1"/>
    <col min="10695" max="10695" width="3.7109375" style="1" customWidth="1"/>
    <col min="10696" max="10696" width="12.85546875" style="1" customWidth="1"/>
    <col min="10697" max="10697" width="37.5703125" style="1" bestFit="1" customWidth="1"/>
    <col min="10698" max="10698" width="13.85546875" style="1" customWidth="1"/>
    <col min="10699" max="10699" width="13" style="1" customWidth="1"/>
    <col min="10700" max="10700" width="13.42578125" style="1" customWidth="1"/>
    <col min="10701" max="10701" width="11.28515625" style="1" customWidth="1"/>
    <col min="10702" max="10702" width="20.85546875" style="1" bestFit="1" customWidth="1"/>
    <col min="10703" max="10703" width="13.28515625" style="1" customWidth="1"/>
    <col min="10704" max="10704" width="19.7109375" style="1" customWidth="1"/>
    <col min="10705" max="10705" width="11.5703125" style="1" customWidth="1"/>
    <col min="10706" max="10706" width="23.28515625" style="1" customWidth="1"/>
    <col min="10707" max="10707" width="15.5703125" style="1" customWidth="1"/>
    <col min="10708" max="10950" width="9.140625" style="1"/>
    <col min="10951" max="10951" width="3.7109375" style="1" customWidth="1"/>
    <col min="10952" max="10952" width="12.85546875" style="1" customWidth="1"/>
    <col min="10953" max="10953" width="37.5703125" style="1" bestFit="1" customWidth="1"/>
    <col min="10954" max="10954" width="13.85546875" style="1" customWidth="1"/>
    <col min="10955" max="10955" width="13" style="1" customWidth="1"/>
    <col min="10956" max="10956" width="13.42578125" style="1" customWidth="1"/>
    <col min="10957" max="10957" width="11.28515625" style="1" customWidth="1"/>
    <col min="10958" max="10958" width="20.85546875" style="1" bestFit="1" customWidth="1"/>
    <col min="10959" max="10959" width="13.28515625" style="1" customWidth="1"/>
    <col min="10960" max="10960" width="19.7109375" style="1" customWidth="1"/>
    <col min="10961" max="10961" width="11.5703125" style="1" customWidth="1"/>
    <col min="10962" max="10962" width="23.28515625" style="1" customWidth="1"/>
    <col min="10963" max="10963" width="15.5703125" style="1" customWidth="1"/>
    <col min="10964" max="11206" width="9.140625" style="1"/>
    <col min="11207" max="11207" width="3.7109375" style="1" customWidth="1"/>
    <col min="11208" max="11208" width="12.85546875" style="1" customWidth="1"/>
    <col min="11209" max="11209" width="37.5703125" style="1" bestFit="1" customWidth="1"/>
    <col min="11210" max="11210" width="13.85546875" style="1" customWidth="1"/>
    <col min="11211" max="11211" width="13" style="1" customWidth="1"/>
    <col min="11212" max="11212" width="13.42578125" style="1" customWidth="1"/>
    <col min="11213" max="11213" width="11.28515625" style="1" customWidth="1"/>
    <col min="11214" max="11214" width="20.85546875" style="1" bestFit="1" customWidth="1"/>
    <col min="11215" max="11215" width="13.28515625" style="1" customWidth="1"/>
    <col min="11216" max="11216" width="19.7109375" style="1" customWidth="1"/>
    <col min="11217" max="11217" width="11.5703125" style="1" customWidth="1"/>
    <col min="11218" max="11218" width="23.28515625" style="1" customWidth="1"/>
    <col min="11219" max="11219" width="15.5703125" style="1" customWidth="1"/>
    <col min="11220" max="11462" width="9.140625" style="1"/>
    <col min="11463" max="11463" width="3.7109375" style="1" customWidth="1"/>
    <col min="11464" max="11464" width="12.85546875" style="1" customWidth="1"/>
    <col min="11465" max="11465" width="37.5703125" style="1" bestFit="1" customWidth="1"/>
    <col min="11466" max="11466" width="13.85546875" style="1" customWidth="1"/>
    <col min="11467" max="11467" width="13" style="1" customWidth="1"/>
    <col min="11468" max="11468" width="13.42578125" style="1" customWidth="1"/>
    <col min="11469" max="11469" width="11.28515625" style="1" customWidth="1"/>
    <col min="11470" max="11470" width="20.85546875" style="1" bestFit="1" customWidth="1"/>
    <col min="11471" max="11471" width="13.28515625" style="1" customWidth="1"/>
    <col min="11472" max="11472" width="19.7109375" style="1" customWidth="1"/>
    <col min="11473" max="11473" width="11.5703125" style="1" customWidth="1"/>
    <col min="11474" max="11474" width="23.28515625" style="1" customWidth="1"/>
    <col min="11475" max="11475" width="15.5703125" style="1" customWidth="1"/>
    <col min="11476" max="11718" width="9.140625" style="1"/>
    <col min="11719" max="11719" width="3.7109375" style="1" customWidth="1"/>
    <col min="11720" max="11720" width="12.85546875" style="1" customWidth="1"/>
    <col min="11721" max="11721" width="37.5703125" style="1" bestFit="1" customWidth="1"/>
    <col min="11722" max="11722" width="13.85546875" style="1" customWidth="1"/>
    <col min="11723" max="11723" width="13" style="1" customWidth="1"/>
    <col min="11724" max="11724" width="13.42578125" style="1" customWidth="1"/>
    <col min="11725" max="11725" width="11.28515625" style="1" customWidth="1"/>
    <col min="11726" max="11726" width="20.85546875" style="1" bestFit="1" customWidth="1"/>
    <col min="11727" max="11727" width="13.28515625" style="1" customWidth="1"/>
    <col min="11728" max="11728" width="19.7109375" style="1" customWidth="1"/>
    <col min="11729" max="11729" width="11.5703125" style="1" customWidth="1"/>
    <col min="11730" max="11730" width="23.28515625" style="1" customWidth="1"/>
    <col min="11731" max="11731" width="15.5703125" style="1" customWidth="1"/>
    <col min="11732" max="11974" width="9.140625" style="1"/>
    <col min="11975" max="11975" width="3.7109375" style="1" customWidth="1"/>
    <col min="11976" max="11976" width="12.85546875" style="1" customWidth="1"/>
    <col min="11977" max="11977" width="37.5703125" style="1" bestFit="1" customWidth="1"/>
    <col min="11978" max="11978" width="13.85546875" style="1" customWidth="1"/>
    <col min="11979" max="11979" width="13" style="1" customWidth="1"/>
    <col min="11980" max="11980" width="13.42578125" style="1" customWidth="1"/>
    <col min="11981" max="11981" width="11.28515625" style="1" customWidth="1"/>
    <col min="11982" max="11982" width="20.85546875" style="1" bestFit="1" customWidth="1"/>
    <col min="11983" max="11983" width="13.28515625" style="1" customWidth="1"/>
    <col min="11984" max="11984" width="19.7109375" style="1" customWidth="1"/>
    <col min="11985" max="11985" width="11.5703125" style="1" customWidth="1"/>
    <col min="11986" max="11986" width="23.28515625" style="1" customWidth="1"/>
    <col min="11987" max="11987" width="15.5703125" style="1" customWidth="1"/>
    <col min="11988" max="12230" width="9.140625" style="1"/>
    <col min="12231" max="12231" width="3.7109375" style="1" customWidth="1"/>
    <col min="12232" max="12232" width="12.85546875" style="1" customWidth="1"/>
    <col min="12233" max="12233" width="37.5703125" style="1" bestFit="1" customWidth="1"/>
    <col min="12234" max="12234" width="13.85546875" style="1" customWidth="1"/>
    <col min="12235" max="12235" width="13" style="1" customWidth="1"/>
    <col min="12236" max="12236" width="13.42578125" style="1" customWidth="1"/>
    <col min="12237" max="12237" width="11.28515625" style="1" customWidth="1"/>
    <col min="12238" max="12238" width="20.85546875" style="1" bestFit="1" customWidth="1"/>
    <col min="12239" max="12239" width="13.28515625" style="1" customWidth="1"/>
    <col min="12240" max="12240" width="19.7109375" style="1" customWidth="1"/>
    <col min="12241" max="12241" width="11.5703125" style="1" customWidth="1"/>
    <col min="12242" max="12242" width="23.28515625" style="1" customWidth="1"/>
    <col min="12243" max="12243" width="15.5703125" style="1" customWidth="1"/>
    <col min="12244" max="12486" width="9.140625" style="1"/>
    <col min="12487" max="12487" width="3.7109375" style="1" customWidth="1"/>
    <col min="12488" max="12488" width="12.85546875" style="1" customWidth="1"/>
    <col min="12489" max="12489" width="37.5703125" style="1" bestFit="1" customWidth="1"/>
    <col min="12490" max="12490" width="13.85546875" style="1" customWidth="1"/>
    <col min="12491" max="12491" width="13" style="1" customWidth="1"/>
    <col min="12492" max="12492" width="13.42578125" style="1" customWidth="1"/>
    <col min="12493" max="12493" width="11.28515625" style="1" customWidth="1"/>
    <col min="12494" max="12494" width="20.85546875" style="1" bestFit="1" customWidth="1"/>
    <col min="12495" max="12495" width="13.28515625" style="1" customWidth="1"/>
    <col min="12496" max="12496" width="19.7109375" style="1" customWidth="1"/>
    <col min="12497" max="12497" width="11.5703125" style="1" customWidth="1"/>
    <col min="12498" max="12498" width="23.28515625" style="1" customWidth="1"/>
    <col min="12499" max="12499" width="15.5703125" style="1" customWidth="1"/>
    <col min="12500" max="12742" width="9.140625" style="1"/>
    <col min="12743" max="12743" width="3.7109375" style="1" customWidth="1"/>
    <col min="12744" max="12744" width="12.85546875" style="1" customWidth="1"/>
    <col min="12745" max="12745" width="37.5703125" style="1" bestFit="1" customWidth="1"/>
    <col min="12746" max="12746" width="13.85546875" style="1" customWidth="1"/>
    <col min="12747" max="12747" width="13" style="1" customWidth="1"/>
    <col min="12748" max="12748" width="13.42578125" style="1" customWidth="1"/>
    <col min="12749" max="12749" width="11.28515625" style="1" customWidth="1"/>
    <col min="12750" max="12750" width="20.85546875" style="1" bestFit="1" customWidth="1"/>
    <col min="12751" max="12751" width="13.28515625" style="1" customWidth="1"/>
    <col min="12752" max="12752" width="19.7109375" style="1" customWidth="1"/>
    <col min="12753" max="12753" width="11.5703125" style="1" customWidth="1"/>
    <col min="12754" max="12754" width="23.28515625" style="1" customWidth="1"/>
    <col min="12755" max="12755" width="15.5703125" style="1" customWidth="1"/>
    <col min="12756" max="12998" width="9.140625" style="1"/>
    <col min="12999" max="12999" width="3.7109375" style="1" customWidth="1"/>
    <col min="13000" max="13000" width="12.85546875" style="1" customWidth="1"/>
    <col min="13001" max="13001" width="37.5703125" style="1" bestFit="1" customWidth="1"/>
    <col min="13002" max="13002" width="13.85546875" style="1" customWidth="1"/>
    <col min="13003" max="13003" width="13" style="1" customWidth="1"/>
    <col min="13004" max="13004" width="13.42578125" style="1" customWidth="1"/>
    <col min="13005" max="13005" width="11.28515625" style="1" customWidth="1"/>
    <col min="13006" max="13006" width="20.85546875" style="1" bestFit="1" customWidth="1"/>
    <col min="13007" max="13007" width="13.28515625" style="1" customWidth="1"/>
    <col min="13008" max="13008" width="19.7109375" style="1" customWidth="1"/>
    <col min="13009" max="13009" width="11.5703125" style="1" customWidth="1"/>
    <col min="13010" max="13010" width="23.28515625" style="1" customWidth="1"/>
    <col min="13011" max="13011" width="15.5703125" style="1" customWidth="1"/>
    <col min="13012" max="13254" width="9.140625" style="1"/>
    <col min="13255" max="13255" width="3.7109375" style="1" customWidth="1"/>
    <col min="13256" max="13256" width="12.85546875" style="1" customWidth="1"/>
    <col min="13257" max="13257" width="37.5703125" style="1" bestFit="1" customWidth="1"/>
    <col min="13258" max="13258" width="13.85546875" style="1" customWidth="1"/>
    <col min="13259" max="13259" width="13" style="1" customWidth="1"/>
    <col min="13260" max="13260" width="13.42578125" style="1" customWidth="1"/>
    <col min="13261" max="13261" width="11.28515625" style="1" customWidth="1"/>
    <col min="13262" max="13262" width="20.85546875" style="1" bestFit="1" customWidth="1"/>
    <col min="13263" max="13263" width="13.28515625" style="1" customWidth="1"/>
    <col min="13264" max="13264" width="19.7109375" style="1" customWidth="1"/>
    <col min="13265" max="13265" width="11.5703125" style="1" customWidth="1"/>
    <col min="13266" max="13266" width="23.28515625" style="1" customWidth="1"/>
    <col min="13267" max="13267" width="15.5703125" style="1" customWidth="1"/>
    <col min="13268" max="13510" width="9.140625" style="1"/>
    <col min="13511" max="13511" width="3.7109375" style="1" customWidth="1"/>
    <col min="13512" max="13512" width="12.85546875" style="1" customWidth="1"/>
    <col min="13513" max="13513" width="37.5703125" style="1" bestFit="1" customWidth="1"/>
    <col min="13514" max="13514" width="13.85546875" style="1" customWidth="1"/>
    <col min="13515" max="13515" width="13" style="1" customWidth="1"/>
    <col min="13516" max="13516" width="13.42578125" style="1" customWidth="1"/>
    <col min="13517" max="13517" width="11.28515625" style="1" customWidth="1"/>
    <col min="13518" max="13518" width="20.85546875" style="1" bestFit="1" customWidth="1"/>
    <col min="13519" max="13519" width="13.28515625" style="1" customWidth="1"/>
    <col min="13520" max="13520" width="19.7109375" style="1" customWidth="1"/>
    <col min="13521" max="13521" width="11.5703125" style="1" customWidth="1"/>
    <col min="13522" max="13522" width="23.28515625" style="1" customWidth="1"/>
    <col min="13523" max="13523" width="15.5703125" style="1" customWidth="1"/>
    <col min="13524" max="13766" width="9.140625" style="1"/>
    <col min="13767" max="13767" width="3.7109375" style="1" customWidth="1"/>
    <col min="13768" max="13768" width="12.85546875" style="1" customWidth="1"/>
    <col min="13769" max="13769" width="37.5703125" style="1" bestFit="1" customWidth="1"/>
    <col min="13770" max="13770" width="13.85546875" style="1" customWidth="1"/>
    <col min="13771" max="13771" width="13" style="1" customWidth="1"/>
    <col min="13772" max="13772" width="13.42578125" style="1" customWidth="1"/>
    <col min="13773" max="13773" width="11.28515625" style="1" customWidth="1"/>
    <col min="13774" max="13774" width="20.85546875" style="1" bestFit="1" customWidth="1"/>
    <col min="13775" max="13775" width="13.28515625" style="1" customWidth="1"/>
    <col min="13776" max="13776" width="19.7109375" style="1" customWidth="1"/>
    <col min="13777" max="13777" width="11.5703125" style="1" customWidth="1"/>
    <col min="13778" max="13778" width="23.28515625" style="1" customWidth="1"/>
    <col min="13779" max="13779" width="15.5703125" style="1" customWidth="1"/>
    <col min="13780" max="14022" width="9.140625" style="1"/>
    <col min="14023" max="14023" width="3.7109375" style="1" customWidth="1"/>
    <col min="14024" max="14024" width="12.85546875" style="1" customWidth="1"/>
    <col min="14025" max="14025" width="37.5703125" style="1" bestFit="1" customWidth="1"/>
    <col min="14026" max="14026" width="13.85546875" style="1" customWidth="1"/>
    <col min="14027" max="14027" width="13" style="1" customWidth="1"/>
    <col min="14028" max="14028" width="13.42578125" style="1" customWidth="1"/>
    <col min="14029" max="14029" width="11.28515625" style="1" customWidth="1"/>
    <col min="14030" max="14030" width="20.85546875" style="1" bestFit="1" customWidth="1"/>
    <col min="14031" max="14031" width="13.28515625" style="1" customWidth="1"/>
    <col min="14032" max="14032" width="19.7109375" style="1" customWidth="1"/>
    <col min="14033" max="14033" width="11.5703125" style="1" customWidth="1"/>
    <col min="14034" max="14034" width="23.28515625" style="1" customWidth="1"/>
    <col min="14035" max="14035" width="15.5703125" style="1" customWidth="1"/>
    <col min="14036" max="14278" width="9.140625" style="1"/>
    <col min="14279" max="14279" width="3.7109375" style="1" customWidth="1"/>
    <col min="14280" max="14280" width="12.85546875" style="1" customWidth="1"/>
    <col min="14281" max="14281" width="37.5703125" style="1" bestFit="1" customWidth="1"/>
    <col min="14282" max="14282" width="13.85546875" style="1" customWidth="1"/>
    <col min="14283" max="14283" width="13" style="1" customWidth="1"/>
    <col min="14284" max="14284" width="13.42578125" style="1" customWidth="1"/>
    <col min="14285" max="14285" width="11.28515625" style="1" customWidth="1"/>
    <col min="14286" max="14286" width="20.85546875" style="1" bestFit="1" customWidth="1"/>
    <col min="14287" max="14287" width="13.28515625" style="1" customWidth="1"/>
    <col min="14288" max="14288" width="19.7109375" style="1" customWidth="1"/>
    <col min="14289" max="14289" width="11.5703125" style="1" customWidth="1"/>
    <col min="14290" max="14290" width="23.28515625" style="1" customWidth="1"/>
    <col min="14291" max="14291" width="15.5703125" style="1" customWidth="1"/>
    <col min="14292" max="14534" width="9.140625" style="1"/>
    <col min="14535" max="14535" width="3.7109375" style="1" customWidth="1"/>
    <col min="14536" max="14536" width="12.85546875" style="1" customWidth="1"/>
    <col min="14537" max="14537" width="37.5703125" style="1" bestFit="1" customWidth="1"/>
    <col min="14538" max="14538" width="13.85546875" style="1" customWidth="1"/>
    <col min="14539" max="14539" width="13" style="1" customWidth="1"/>
    <col min="14540" max="14540" width="13.42578125" style="1" customWidth="1"/>
    <col min="14541" max="14541" width="11.28515625" style="1" customWidth="1"/>
    <col min="14542" max="14542" width="20.85546875" style="1" bestFit="1" customWidth="1"/>
    <col min="14543" max="14543" width="13.28515625" style="1" customWidth="1"/>
    <col min="14544" max="14544" width="19.7109375" style="1" customWidth="1"/>
    <col min="14545" max="14545" width="11.5703125" style="1" customWidth="1"/>
    <col min="14546" max="14546" width="23.28515625" style="1" customWidth="1"/>
    <col min="14547" max="14547" width="15.5703125" style="1" customWidth="1"/>
    <col min="14548" max="14790" width="9.140625" style="1"/>
    <col min="14791" max="14791" width="3.7109375" style="1" customWidth="1"/>
    <col min="14792" max="14792" width="12.85546875" style="1" customWidth="1"/>
    <col min="14793" max="14793" width="37.5703125" style="1" bestFit="1" customWidth="1"/>
    <col min="14794" max="14794" width="13.85546875" style="1" customWidth="1"/>
    <col min="14795" max="14795" width="13" style="1" customWidth="1"/>
    <col min="14796" max="14796" width="13.42578125" style="1" customWidth="1"/>
    <col min="14797" max="14797" width="11.28515625" style="1" customWidth="1"/>
    <col min="14798" max="14798" width="20.85546875" style="1" bestFit="1" customWidth="1"/>
    <col min="14799" max="14799" width="13.28515625" style="1" customWidth="1"/>
    <col min="14800" max="14800" width="19.7109375" style="1" customWidth="1"/>
    <col min="14801" max="14801" width="11.5703125" style="1" customWidth="1"/>
    <col min="14802" max="14802" width="23.28515625" style="1" customWidth="1"/>
    <col min="14803" max="14803" width="15.5703125" style="1" customWidth="1"/>
    <col min="14804" max="15046" width="9.140625" style="1"/>
    <col min="15047" max="15047" width="3.7109375" style="1" customWidth="1"/>
    <col min="15048" max="15048" width="12.85546875" style="1" customWidth="1"/>
    <col min="15049" max="15049" width="37.5703125" style="1" bestFit="1" customWidth="1"/>
    <col min="15050" max="15050" width="13.85546875" style="1" customWidth="1"/>
    <col min="15051" max="15051" width="13" style="1" customWidth="1"/>
    <col min="15052" max="15052" width="13.42578125" style="1" customWidth="1"/>
    <col min="15053" max="15053" width="11.28515625" style="1" customWidth="1"/>
    <col min="15054" max="15054" width="20.85546875" style="1" bestFit="1" customWidth="1"/>
    <col min="15055" max="15055" width="13.28515625" style="1" customWidth="1"/>
    <col min="15056" max="15056" width="19.7109375" style="1" customWidth="1"/>
    <col min="15057" max="15057" width="11.5703125" style="1" customWidth="1"/>
    <col min="15058" max="15058" width="23.28515625" style="1" customWidth="1"/>
    <col min="15059" max="15059" width="15.5703125" style="1" customWidth="1"/>
    <col min="15060" max="15302" width="9.140625" style="1"/>
    <col min="15303" max="15303" width="3.7109375" style="1" customWidth="1"/>
    <col min="15304" max="15304" width="12.85546875" style="1" customWidth="1"/>
    <col min="15305" max="15305" width="37.5703125" style="1" bestFit="1" customWidth="1"/>
    <col min="15306" max="15306" width="13.85546875" style="1" customWidth="1"/>
    <col min="15307" max="15307" width="13" style="1" customWidth="1"/>
    <col min="15308" max="15308" width="13.42578125" style="1" customWidth="1"/>
    <col min="15309" max="15309" width="11.28515625" style="1" customWidth="1"/>
    <col min="15310" max="15310" width="20.85546875" style="1" bestFit="1" customWidth="1"/>
    <col min="15311" max="15311" width="13.28515625" style="1" customWidth="1"/>
    <col min="15312" max="15312" width="19.7109375" style="1" customWidth="1"/>
    <col min="15313" max="15313" width="11.5703125" style="1" customWidth="1"/>
    <col min="15314" max="15314" width="23.28515625" style="1" customWidth="1"/>
    <col min="15315" max="15315" width="15.5703125" style="1" customWidth="1"/>
    <col min="15316" max="15558" width="9.140625" style="1"/>
    <col min="15559" max="15559" width="3.7109375" style="1" customWidth="1"/>
    <col min="15560" max="15560" width="12.85546875" style="1" customWidth="1"/>
    <col min="15561" max="15561" width="37.5703125" style="1" bestFit="1" customWidth="1"/>
    <col min="15562" max="15562" width="13.85546875" style="1" customWidth="1"/>
    <col min="15563" max="15563" width="13" style="1" customWidth="1"/>
    <col min="15564" max="15564" width="13.42578125" style="1" customWidth="1"/>
    <col min="15565" max="15565" width="11.28515625" style="1" customWidth="1"/>
    <col min="15566" max="15566" width="20.85546875" style="1" bestFit="1" customWidth="1"/>
    <col min="15567" max="15567" width="13.28515625" style="1" customWidth="1"/>
    <col min="15568" max="15568" width="19.7109375" style="1" customWidth="1"/>
    <col min="15569" max="15569" width="11.5703125" style="1" customWidth="1"/>
    <col min="15570" max="15570" width="23.28515625" style="1" customWidth="1"/>
    <col min="15571" max="15571" width="15.5703125" style="1" customWidth="1"/>
    <col min="15572" max="15814" width="9.140625" style="1"/>
    <col min="15815" max="15815" width="3.7109375" style="1" customWidth="1"/>
    <col min="15816" max="15816" width="12.85546875" style="1" customWidth="1"/>
    <col min="15817" max="15817" width="37.5703125" style="1" bestFit="1" customWidth="1"/>
    <col min="15818" max="15818" width="13.85546875" style="1" customWidth="1"/>
    <col min="15819" max="15819" width="13" style="1" customWidth="1"/>
    <col min="15820" max="15820" width="13.42578125" style="1" customWidth="1"/>
    <col min="15821" max="15821" width="11.28515625" style="1" customWidth="1"/>
    <col min="15822" max="15822" width="20.85546875" style="1" bestFit="1" customWidth="1"/>
    <col min="15823" max="15823" width="13.28515625" style="1" customWidth="1"/>
    <col min="15824" max="15824" width="19.7109375" style="1" customWidth="1"/>
    <col min="15825" max="15825" width="11.5703125" style="1" customWidth="1"/>
    <col min="15826" max="15826" width="23.28515625" style="1" customWidth="1"/>
    <col min="15827" max="15827" width="15.5703125" style="1" customWidth="1"/>
    <col min="15828" max="16070" width="9.140625" style="1"/>
    <col min="16071" max="16071" width="3.7109375" style="1" customWidth="1"/>
    <col min="16072" max="16072" width="12.85546875" style="1" customWidth="1"/>
    <col min="16073" max="16073" width="37.5703125" style="1" bestFit="1" customWidth="1"/>
    <col min="16074" max="16074" width="13.85546875" style="1" customWidth="1"/>
    <col min="16075" max="16075" width="13" style="1" customWidth="1"/>
    <col min="16076" max="16076" width="13.42578125" style="1" customWidth="1"/>
    <col min="16077" max="16077" width="11.28515625" style="1" customWidth="1"/>
    <col min="16078" max="16078" width="20.85546875" style="1" bestFit="1" customWidth="1"/>
    <col min="16079" max="16079" width="13.28515625" style="1" customWidth="1"/>
    <col min="16080" max="16080" width="19.7109375" style="1" customWidth="1"/>
    <col min="16081" max="16081" width="11.5703125" style="1" customWidth="1"/>
    <col min="16082" max="16082" width="23.28515625" style="1" customWidth="1"/>
    <col min="16083" max="16083" width="15.5703125" style="1" customWidth="1"/>
    <col min="16084" max="16384" width="9.140625" style="1"/>
  </cols>
  <sheetData>
    <row r="1" spans="1:8" ht="15.75">
      <c r="A1" s="9"/>
    </row>
    <row r="2" spans="1:8" s="2" customFormat="1" ht="11.25">
      <c r="A2" s="21" t="s">
        <v>0</v>
      </c>
      <c r="B2" s="30"/>
    </row>
    <row r="3" spans="1:8" ht="15">
      <c r="A3" s="32" t="s">
        <v>3</v>
      </c>
      <c r="B3" s="33">
        <v>0.32</v>
      </c>
      <c r="C3" s="1">
        <f>C14*B3</f>
        <v>3.52</v>
      </c>
      <c r="D3" s="1">
        <v>3.5</v>
      </c>
      <c r="E3" s="1">
        <v>4</v>
      </c>
      <c r="F3" s="1">
        <v>38</v>
      </c>
      <c r="G3" s="1">
        <f>E3/F3</f>
        <v>0.10526315789473684</v>
      </c>
      <c r="H3" s="1">
        <v>0.1</v>
      </c>
    </row>
    <row r="4" spans="1:8" ht="15" customHeight="1">
      <c r="A4" s="32" t="s">
        <v>4</v>
      </c>
      <c r="B4" s="33">
        <v>0.08</v>
      </c>
      <c r="C4" s="1">
        <f>C14*B4</f>
        <v>0.88</v>
      </c>
      <c r="D4" s="1">
        <v>1</v>
      </c>
      <c r="E4" s="1">
        <v>1</v>
      </c>
      <c r="F4" s="1">
        <v>7</v>
      </c>
      <c r="G4" s="1">
        <f t="shared" ref="G4:G13" si="0">E4/F4</f>
        <v>0.14285714285714285</v>
      </c>
      <c r="H4" s="1">
        <v>0.1</v>
      </c>
    </row>
    <row r="5" spans="1:8" ht="12.75" customHeight="1">
      <c r="A5" s="32" t="s">
        <v>12</v>
      </c>
      <c r="B5" s="33">
        <v>6.4000000000000001E-2</v>
      </c>
      <c r="C5" s="1">
        <f>$C$14*B5</f>
        <v>0.70399999999999996</v>
      </c>
      <c r="D5" s="1">
        <v>1</v>
      </c>
      <c r="E5" s="1">
        <v>1</v>
      </c>
      <c r="F5" s="1">
        <v>5</v>
      </c>
      <c r="G5" s="1">
        <f t="shared" si="0"/>
        <v>0.2</v>
      </c>
      <c r="H5" s="1">
        <v>0.2</v>
      </c>
    </row>
    <row r="6" spans="1:8" ht="15">
      <c r="A6" s="32" t="s">
        <v>17</v>
      </c>
      <c r="B6" s="34">
        <v>2.4E-2</v>
      </c>
      <c r="C6" s="1">
        <f t="shared" ref="C6:C13" si="1">$C$14*B6</f>
        <v>0.26400000000000001</v>
      </c>
      <c r="D6" s="1">
        <v>0.5</v>
      </c>
      <c r="E6" s="1">
        <v>1</v>
      </c>
      <c r="F6" s="1">
        <v>6</v>
      </c>
      <c r="G6" s="1">
        <f t="shared" si="0"/>
        <v>0.16666666666666666</v>
      </c>
      <c r="H6" s="1">
        <v>0.2</v>
      </c>
    </row>
    <row r="7" spans="1:8" ht="12.75" customHeight="1">
      <c r="A7" s="32" t="s">
        <v>24</v>
      </c>
      <c r="B7" s="34">
        <v>3.3000000000000002E-2</v>
      </c>
      <c r="C7" s="1">
        <f t="shared" si="1"/>
        <v>0.36299999999999999</v>
      </c>
      <c r="D7" s="1">
        <v>0.5</v>
      </c>
      <c r="E7" s="1">
        <v>1</v>
      </c>
      <c r="F7" s="1">
        <v>4</v>
      </c>
      <c r="G7" s="1">
        <f t="shared" si="0"/>
        <v>0.25</v>
      </c>
      <c r="H7" s="1">
        <v>0.2</v>
      </c>
    </row>
    <row r="8" spans="1:8" ht="12.75" customHeight="1">
      <c r="A8" s="32" t="s">
        <v>29</v>
      </c>
      <c r="B8" s="34">
        <v>9.4E-2</v>
      </c>
      <c r="C8" s="1">
        <f t="shared" si="1"/>
        <v>1.034</v>
      </c>
      <c r="D8" s="1">
        <v>2</v>
      </c>
      <c r="E8" s="1">
        <v>1.5</v>
      </c>
      <c r="F8" s="1">
        <v>8</v>
      </c>
      <c r="G8" s="1">
        <f t="shared" si="0"/>
        <v>0.1875</v>
      </c>
      <c r="H8" s="1">
        <v>0.2</v>
      </c>
    </row>
    <row r="9" spans="1:8" ht="12.75" customHeight="1">
      <c r="A9" s="32" t="s">
        <v>38</v>
      </c>
      <c r="B9" s="34">
        <v>0.22500000000000001</v>
      </c>
      <c r="C9" s="1">
        <f t="shared" si="1"/>
        <v>2.4750000000000001</v>
      </c>
      <c r="D9" s="1">
        <v>2.5</v>
      </c>
      <c r="E9" s="1">
        <v>2.5</v>
      </c>
      <c r="F9" s="1">
        <v>13</v>
      </c>
      <c r="G9" s="1">
        <f t="shared" si="0"/>
        <v>0.19230769230769232</v>
      </c>
      <c r="H9" s="1">
        <v>0.2</v>
      </c>
    </row>
    <row r="10" spans="1:8" ht="12.75" customHeight="1">
      <c r="A10" s="32" t="s">
        <v>51</v>
      </c>
      <c r="B10" s="34">
        <v>1.2999999999999999E-2</v>
      </c>
      <c r="C10" s="1">
        <f t="shared" si="1"/>
        <v>0.14299999999999999</v>
      </c>
      <c r="D10" s="1">
        <v>0.5</v>
      </c>
      <c r="E10" s="1">
        <v>1</v>
      </c>
      <c r="F10" s="1">
        <v>4</v>
      </c>
      <c r="G10" s="1">
        <f t="shared" si="0"/>
        <v>0.25</v>
      </c>
      <c r="H10" s="1">
        <v>0.2</v>
      </c>
    </row>
    <row r="11" spans="1:8" ht="15">
      <c r="A11" s="32" t="s">
        <v>56</v>
      </c>
      <c r="B11" s="33">
        <v>0.06</v>
      </c>
      <c r="C11" s="1">
        <f t="shared" si="1"/>
        <v>0.65999999999999992</v>
      </c>
      <c r="D11" s="1">
        <v>1</v>
      </c>
      <c r="E11" s="1">
        <v>1</v>
      </c>
      <c r="F11" s="1">
        <v>12</v>
      </c>
      <c r="G11" s="1">
        <f t="shared" si="0"/>
        <v>8.3333333333333329E-2</v>
      </c>
      <c r="H11" s="1">
        <v>0.1</v>
      </c>
    </row>
    <row r="12" spans="1:8" ht="12.75" customHeight="1">
      <c r="A12" s="32" t="s">
        <v>66</v>
      </c>
      <c r="B12" s="33">
        <v>0.03</v>
      </c>
      <c r="C12" s="1">
        <f t="shared" si="1"/>
        <v>0.32999999999999996</v>
      </c>
      <c r="D12" s="1">
        <v>0.5</v>
      </c>
      <c r="E12" s="1">
        <v>1</v>
      </c>
      <c r="F12" s="1">
        <v>3</v>
      </c>
      <c r="G12" s="1">
        <f t="shared" si="0"/>
        <v>0.33333333333333331</v>
      </c>
      <c r="H12" s="1">
        <v>0.3</v>
      </c>
    </row>
    <row r="13" spans="1:8" ht="15">
      <c r="A13" s="32" t="s">
        <v>70</v>
      </c>
      <c r="B13" s="33">
        <v>0.06</v>
      </c>
      <c r="C13" s="1">
        <f t="shared" si="1"/>
        <v>0.65999999999999992</v>
      </c>
      <c r="D13" s="1">
        <v>1</v>
      </c>
      <c r="E13" s="1">
        <v>1</v>
      </c>
      <c r="F13" s="1">
        <v>8</v>
      </c>
      <c r="G13" s="1">
        <f t="shared" si="0"/>
        <v>0.125</v>
      </c>
      <c r="H13" s="1">
        <v>0.1</v>
      </c>
    </row>
    <row r="14" spans="1:8">
      <c r="C14" s="1">
        <v>11</v>
      </c>
    </row>
    <row r="18" spans="1:1">
      <c r="A1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workbookViewId="0">
      <selection activeCell="Y3" sqref="Y3"/>
    </sheetView>
  </sheetViews>
  <sheetFormatPr defaultRowHeight="11.25"/>
  <cols>
    <col min="1" max="1" width="4.140625" style="37" customWidth="1"/>
    <col min="2" max="2" width="9" style="37" customWidth="1"/>
    <col min="3" max="3" width="15.140625" style="38" customWidth="1"/>
    <col min="4" max="4" width="8.7109375" style="37" customWidth="1"/>
    <col min="5" max="5" width="7.5703125" style="37" customWidth="1"/>
    <col min="6" max="6" width="8.140625" style="37" customWidth="1"/>
    <col min="7" max="7" width="8.7109375" style="37" customWidth="1"/>
    <col min="8" max="8" width="10" style="37" customWidth="1"/>
    <col min="9" max="9" width="9.42578125" style="37" customWidth="1"/>
    <col min="10" max="10" width="8.28515625" style="37" customWidth="1"/>
    <col min="11" max="11" width="9.7109375" style="37" customWidth="1"/>
    <col min="12" max="16384" width="9.140625" style="37"/>
  </cols>
  <sheetData>
    <row r="1" spans="1:11" ht="39" customHeight="1">
      <c r="J1" s="138" t="s">
        <v>194</v>
      </c>
      <c r="K1" s="138"/>
    </row>
    <row r="2" spans="1:11" ht="19.5" customHeight="1">
      <c r="A2" s="139" t="s">
        <v>195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88.5" customHeight="1">
      <c r="A3" s="140" t="s">
        <v>101</v>
      </c>
      <c r="B3" s="140" t="s">
        <v>0</v>
      </c>
      <c r="C3" s="141" t="s">
        <v>196</v>
      </c>
      <c r="D3" s="142" t="s">
        <v>197</v>
      </c>
      <c r="E3" s="143"/>
      <c r="F3" s="142" t="s">
        <v>198</v>
      </c>
      <c r="G3" s="143"/>
      <c r="H3" s="142" t="s">
        <v>199</v>
      </c>
      <c r="I3" s="143"/>
      <c r="J3" s="146" t="s">
        <v>200</v>
      </c>
      <c r="K3" s="146" t="s">
        <v>201</v>
      </c>
    </row>
    <row r="4" spans="1:11" ht="98.25" customHeight="1">
      <c r="A4" s="140"/>
      <c r="B4" s="140"/>
      <c r="C4" s="141"/>
      <c r="D4" s="144"/>
      <c r="E4" s="145"/>
      <c r="F4" s="144"/>
      <c r="G4" s="145"/>
      <c r="H4" s="144"/>
      <c r="I4" s="145"/>
      <c r="J4" s="147"/>
      <c r="K4" s="147"/>
    </row>
    <row r="5" spans="1:11" ht="36">
      <c r="A5" s="140">
        <v>1</v>
      </c>
      <c r="B5" s="140" t="s">
        <v>202</v>
      </c>
      <c r="C5" s="39" t="s">
        <v>203</v>
      </c>
      <c r="D5" s="40">
        <v>41845</v>
      </c>
      <c r="E5" s="155">
        <f>D5+D6+D7+D8+D9</f>
        <v>119097</v>
      </c>
      <c r="F5" s="40">
        <v>8124</v>
      </c>
      <c r="G5" s="151">
        <f>F5+F6+F7+F8+F9</f>
        <v>26428</v>
      </c>
      <c r="H5" s="41">
        <v>59605</v>
      </c>
      <c r="I5" s="152">
        <f>H5+H6+H7+H8+H9</f>
        <v>233667</v>
      </c>
      <c r="J5" s="148">
        <v>972</v>
      </c>
      <c r="K5" s="148">
        <v>12564</v>
      </c>
    </row>
    <row r="6" spans="1:11" ht="36">
      <c r="A6" s="140"/>
      <c r="B6" s="140"/>
      <c r="C6" s="39" t="s">
        <v>204</v>
      </c>
      <c r="D6" s="40">
        <v>15218</v>
      </c>
      <c r="E6" s="155"/>
      <c r="F6" s="40">
        <v>2837</v>
      </c>
      <c r="G6" s="151"/>
      <c r="H6" s="41">
        <v>31446</v>
      </c>
      <c r="I6" s="153"/>
      <c r="J6" s="149"/>
      <c r="K6" s="149"/>
    </row>
    <row r="7" spans="1:11" ht="24">
      <c r="A7" s="140"/>
      <c r="B7" s="140"/>
      <c r="C7" s="39" t="s">
        <v>205</v>
      </c>
      <c r="D7" s="40">
        <v>39603</v>
      </c>
      <c r="E7" s="155"/>
      <c r="F7" s="40">
        <v>7729</v>
      </c>
      <c r="G7" s="151"/>
      <c r="H7" s="41">
        <v>60248</v>
      </c>
      <c r="I7" s="153"/>
      <c r="J7" s="149"/>
      <c r="K7" s="149"/>
    </row>
    <row r="8" spans="1:11" ht="36">
      <c r="A8" s="140"/>
      <c r="B8" s="140"/>
      <c r="C8" s="39" t="s">
        <v>206</v>
      </c>
      <c r="D8" s="40">
        <v>11765</v>
      </c>
      <c r="E8" s="155"/>
      <c r="F8" s="40">
        <v>4984</v>
      </c>
      <c r="G8" s="151"/>
      <c r="H8" s="41">
        <v>57555</v>
      </c>
      <c r="I8" s="153"/>
      <c r="J8" s="149"/>
      <c r="K8" s="149"/>
    </row>
    <row r="9" spans="1:11" ht="36">
      <c r="A9" s="140"/>
      <c r="B9" s="140"/>
      <c r="C9" s="39" t="s">
        <v>207</v>
      </c>
      <c r="D9" s="40">
        <v>10666</v>
      </c>
      <c r="E9" s="155"/>
      <c r="F9" s="40">
        <v>2754</v>
      </c>
      <c r="G9" s="151"/>
      <c r="H9" s="41">
        <v>24813</v>
      </c>
      <c r="I9" s="154"/>
      <c r="J9" s="150"/>
      <c r="K9" s="149"/>
    </row>
    <row r="10" spans="1:11" ht="24">
      <c r="A10" s="141">
        <v>2</v>
      </c>
      <c r="B10" s="141" t="s">
        <v>82</v>
      </c>
      <c r="C10" s="39" t="s">
        <v>208</v>
      </c>
      <c r="D10" s="40">
        <v>7018</v>
      </c>
      <c r="E10" s="151">
        <f>D10+D11+D12+D13</f>
        <v>23478</v>
      </c>
      <c r="F10" s="40">
        <v>1706</v>
      </c>
      <c r="G10" s="151">
        <f>F10+F11+F12+F13</f>
        <v>4361</v>
      </c>
      <c r="H10" s="41">
        <v>7396</v>
      </c>
      <c r="I10" s="152">
        <f>H10+H11+H12+H13</f>
        <v>27710</v>
      </c>
      <c r="J10" s="148">
        <v>154</v>
      </c>
      <c r="K10" s="149"/>
    </row>
    <row r="11" spans="1:11" ht="12">
      <c r="A11" s="141"/>
      <c r="B11" s="141"/>
      <c r="C11" s="39" t="s">
        <v>209</v>
      </c>
      <c r="D11" s="40">
        <v>3268</v>
      </c>
      <c r="E11" s="151"/>
      <c r="F11" s="40">
        <v>437</v>
      </c>
      <c r="G11" s="151"/>
      <c r="H11" s="41">
        <v>5691</v>
      </c>
      <c r="I11" s="153"/>
      <c r="J11" s="149"/>
      <c r="K11" s="149"/>
    </row>
    <row r="12" spans="1:11" ht="24">
      <c r="A12" s="141"/>
      <c r="B12" s="141"/>
      <c r="C12" s="39" t="s">
        <v>210</v>
      </c>
      <c r="D12" s="40">
        <v>7543</v>
      </c>
      <c r="E12" s="151"/>
      <c r="F12" s="40">
        <v>1540</v>
      </c>
      <c r="G12" s="151"/>
      <c r="H12" s="41">
        <v>9824</v>
      </c>
      <c r="I12" s="153"/>
      <c r="J12" s="149"/>
      <c r="K12" s="149"/>
    </row>
    <row r="13" spans="1:11" ht="24">
      <c r="A13" s="141"/>
      <c r="B13" s="141"/>
      <c r="C13" s="39" t="s">
        <v>211</v>
      </c>
      <c r="D13" s="40">
        <v>5649</v>
      </c>
      <c r="E13" s="151"/>
      <c r="F13" s="40">
        <v>678</v>
      </c>
      <c r="G13" s="151"/>
      <c r="H13" s="41">
        <v>4799</v>
      </c>
      <c r="I13" s="154"/>
      <c r="J13" s="150"/>
      <c r="K13" s="149"/>
    </row>
    <row r="14" spans="1:11" ht="12">
      <c r="A14" s="140">
        <v>3</v>
      </c>
      <c r="B14" s="141" t="s">
        <v>212</v>
      </c>
      <c r="C14" s="39" t="s">
        <v>213</v>
      </c>
      <c r="D14" s="40">
        <v>358</v>
      </c>
      <c r="E14" s="151">
        <f>D14+D15+D16+D17+D18</f>
        <v>16235</v>
      </c>
      <c r="F14" s="40">
        <v>73</v>
      </c>
      <c r="G14" s="151">
        <f>F14+F15+F16+F17+F18</f>
        <v>1366</v>
      </c>
      <c r="H14" s="41">
        <v>566</v>
      </c>
      <c r="I14" s="152">
        <f>H14+H15+H16+H17+H18</f>
        <v>11517</v>
      </c>
      <c r="J14" s="148">
        <v>171</v>
      </c>
      <c r="K14" s="149"/>
    </row>
    <row r="15" spans="1:11" ht="24">
      <c r="A15" s="140"/>
      <c r="B15" s="141"/>
      <c r="C15" s="39" t="s">
        <v>214</v>
      </c>
      <c r="D15" s="40">
        <v>5213</v>
      </c>
      <c r="E15" s="151"/>
      <c r="F15" s="40">
        <v>320</v>
      </c>
      <c r="G15" s="151"/>
      <c r="H15" s="41">
        <v>3650</v>
      </c>
      <c r="I15" s="153"/>
      <c r="J15" s="149"/>
      <c r="K15" s="149"/>
    </row>
    <row r="16" spans="1:11" ht="24">
      <c r="A16" s="140"/>
      <c r="B16" s="141"/>
      <c r="C16" s="39" t="s">
        <v>215</v>
      </c>
      <c r="D16" s="40">
        <v>2291</v>
      </c>
      <c r="E16" s="151"/>
      <c r="F16" s="40">
        <v>379</v>
      </c>
      <c r="G16" s="151"/>
      <c r="H16" s="41">
        <v>1494</v>
      </c>
      <c r="I16" s="153"/>
      <c r="J16" s="149"/>
      <c r="K16" s="149"/>
    </row>
    <row r="17" spans="1:11" ht="12">
      <c r="A17" s="140"/>
      <c r="B17" s="141"/>
      <c r="C17" s="39" t="s">
        <v>216</v>
      </c>
      <c r="D17" s="40">
        <v>3182</v>
      </c>
      <c r="E17" s="151"/>
      <c r="F17" s="40">
        <v>168</v>
      </c>
      <c r="G17" s="151"/>
      <c r="H17" s="41">
        <v>2486</v>
      </c>
      <c r="I17" s="153"/>
      <c r="J17" s="149"/>
      <c r="K17" s="149"/>
    </row>
    <row r="18" spans="1:11" ht="12">
      <c r="A18" s="140"/>
      <c r="B18" s="141"/>
      <c r="C18" s="39" t="s">
        <v>217</v>
      </c>
      <c r="D18" s="40">
        <v>5191</v>
      </c>
      <c r="E18" s="151"/>
      <c r="F18" s="40">
        <v>426</v>
      </c>
      <c r="G18" s="151"/>
      <c r="H18" s="41">
        <v>3321</v>
      </c>
      <c r="I18" s="154"/>
      <c r="J18" s="150"/>
      <c r="K18" s="149"/>
    </row>
    <row r="19" spans="1:11" ht="12">
      <c r="A19" s="140">
        <v>4</v>
      </c>
      <c r="B19" s="140" t="s">
        <v>80</v>
      </c>
      <c r="C19" s="39" t="s">
        <v>218</v>
      </c>
      <c r="D19" s="40">
        <v>8878</v>
      </c>
      <c r="E19" s="151">
        <f>D19+D20+D21+D22+D23+D24+D25+D26+D27</f>
        <v>62152</v>
      </c>
      <c r="F19" s="40">
        <v>964</v>
      </c>
      <c r="G19" s="151">
        <f>F19+F20+F21+F22+F23+F24+F25+F26+F27</f>
        <v>9798</v>
      </c>
      <c r="H19" s="41">
        <v>7165</v>
      </c>
      <c r="I19" s="152">
        <f>H19+H20+H21+H22+H23+H24+H25+H26+H27</f>
        <v>72575</v>
      </c>
      <c r="J19" s="148">
        <v>465</v>
      </c>
      <c r="K19" s="149"/>
    </row>
    <row r="20" spans="1:11" ht="24">
      <c r="A20" s="140"/>
      <c r="B20" s="140"/>
      <c r="C20" s="39" t="s">
        <v>219</v>
      </c>
      <c r="D20" s="40">
        <v>12536</v>
      </c>
      <c r="E20" s="151"/>
      <c r="F20" s="40">
        <v>1931</v>
      </c>
      <c r="G20" s="151"/>
      <c r="H20" s="41">
        <v>13682</v>
      </c>
      <c r="I20" s="153"/>
      <c r="J20" s="149"/>
      <c r="K20" s="149"/>
    </row>
    <row r="21" spans="1:11" ht="24">
      <c r="A21" s="140"/>
      <c r="B21" s="140"/>
      <c r="C21" s="39" t="s">
        <v>220</v>
      </c>
      <c r="D21" s="40">
        <v>4660</v>
      </c>
      <c r="E21" s="151"/>
      <c r="F21" s="40">
        <v>510</v>
      </c>
      <c r="G21" s="151"/>
      <c r="H21" s="41">
        <v>5663</v>
      </c>
      <c r="I21" s="153"/>
      <c r="J21" s="149"/>
      <c r="K21" s="149"/>
    </row>
    <row r="22" spans="1:11" ht="12">
      <c r="A22" s="140"/>
      <c r="B22" s="140"/>
      <c r="C22" s="39" t="s">
        <v>221</v>
      </c>
      <c r="D22" s="40">
        <v>2777</v>
      </c>
      <c r="E22" s="151"/>
      <c r="F22" s="40">
        <v>479</v>
      </c>
      <c r="G22" s="151"/>
      <c r="H22" s="41">
        <v>4751</v>
      </c>
      <c r="I22" s="153"/>
      <c r="J22" s="149"/>
      <c r="K22" s="149"/>
    </row>
    <row r="23" spans="1:11" ht="24">
      <c r="A23" s="140"/>
      <c r="B23" s="140"/>
      <c r="C23" s="39" t="s">
        <v>222</v>
      </c>
      <c r="D23" s="40">
        <v>5889</v>
      </c>
      <c r="E23" s="151"/>
      <c r="F23" s="40">
        <v>1111</v>
      </c>
      <c r="G23" s="151"/>
      <c r="H23" s="41">
        <v>8600</v>
      </c>
      <c r="I23" s="153"/>
      <c r="J23" s="149"/>
      <c r="K23" s="149"/>
    </row>
    <row r="24" spans="1:11" ht="24">
      <c r="A24" s="140"/>
      <c r="B24" s="140"/>
      <c r="C24" s="39" t="s">
        <v>223</v>
      </c>
      <c r="D24" s="40">
        <v>9464</v>
      </c>
      <c r="E24" s="151"/>
      <c r="F24" s="40">
        <v>1875</v>
      </c>
      <c r="G24" s="151"/>
      <c r="H24" s="41">
        <v>8050</v>
      </c>
      <c r="I24" s="153"/>
      <c r="J24" s="149"/>
      <c r="K24" s="149"/>
    </row>
    <row r="25" spans="1:11" ht="24">
      <c r="A25" s="140"/>
      <c r="B25" s="140"/>
      <c r="C25" s="39" t="s">
        <v>224</v>
      </c>
      <c r="D25" s="40">
        <v>7380</v>
      </c>
      <c r="E25" s="151"/>
      <c r="F25" s="40">
        <v>1072</v>
      </c>
      <c r="G25" s="151"/>
      <c r="H25" s="41">
        <v>9433</v>
      </c>
      <c r="I25" s="153"/>
      <c r="J25" s="149"/>
      <c r="K25" s="149"/>
    </row>
    <row r="26" spans="1:11" ht="24">
      <c r="A26" s="140"/>
      <c r="B26" s="140"/>
      <c r="C26" s="39" t="s">
        <v>225</v>
      </c>
      <c r="D26" s="40">
        <v>6295</v>
      </c>
      <c r="E26" s="151"/>
      <c r="F26" s="40">
        <v>809</v>
      </c>
      <c r="G26" s="151"/>
      <c r="H26" s="41">
        <v>8456</v>
      </c>
      <c r="I26" s="153"/>
      <c r="J26" s="149"/>
      <c r="K26" s="149"/>
    </row>
    <row r="27" spans="1:11" ht="24">
      <c r="A27" s="140"/>
      <c r="B27" s="140"/>
      <c r="C27" s="39" t="s">
        <v>226</v>
      </c>
      <c r="D27" s="40">
        <v>4273</v>
      </c>
      <c r="E27" s="151"/>
      <c r="F27" s="40">
        <v>1047</v>
      </c>
      <c r="G27" s="151"/>
      <c r="H27" s="41">
        <v>6775</v>
      </c>
      <c r="I27" s="154"/>
      <c r="J27" s="150"/>
      <c r="K27" s="149"/>
    </row>
    <row r="28" spans="1:11" ht="24">
      <c r="A28" s="140">
        <v>5</v>
      </c>
      <c r="B28" s="140" t="s">
        <v>81</v>
      </c>
      <c r="C28" s="39" t="s">
        <v>227</v>
      </c>
      <c r="D28" s="40">
        <v>3396</v>
      </c>
      <c r="E28" s="151">
        <f>D28+D29+D30+D31+D32+D33+D34+D35+D36+D37+D38+D39</f>
        <v>84634</v>
      </c>
      <c r="F28" s="40">
        <v>1115</v>
      </c>
      <c r="G28" s="151">
        <f>F28+F29+F30+F31+F32+F33+F34+F35+F36+F37+F38+F39</f>
        <v>21585</v>
      </c>
      <c r="H28" s="41">
        <v>5735</v>
      </c>
      <c r="I28" s="152">
        <f>H28+H29+H30+H31+H32+H33+H34+H35+H36+H37+H38+H39</f>
        <v>128503</v>
      </c>
      <c r="J28" s="148">
        <v>766</v>
      </c>
      <c r="K28" s="149"/>
    </row>
    <row r="29" spans="1:11" ht="12">
      <c r="A29" s="140"/>
      <c r="B29" s="140"/>
      <c r="C29" s="39" t="s">
        <v>228</v>
      </c>
      <c r="D29" s="40">
        <v>5823</v>
      </c>
      <c r="E29" s="151"/>
      <c r="F29" s="40">
        <v>1090</v>
      </c>
      <c r="G29" s="151"/>
      <c r="H29" s="41">
        <v>6795</v>
      </c>
      <c r="I29" s="153"/>
      <c r="J29" s="149"/>
      <c r="K29" s="149"/>
    </row>
    <row r="30" spans="1:11" ht="24">
      <c r="A30" s="140"/>
      <c r="B30" s="140"/>
      <c r="C30" s="39" t="s">
        <v>229</v>
      </c>
      <c r="D30" s="40">
        <v>9097</v>
      </c>
      <c r="E30" s="151"/>
      <c r="F30" s="40">
        <v>1973</v>
      </c>
      <c r="G30" s="151"/>
      <c r="H30" s="41">
        <v>13211</v>
      </c>
      <c r="I30" s="153"/>
      <c r="J30" s="149"/>
      <c r="K30" s="149"/>
    </row>
    <row r="31" spans="1:11" ht="24">
      <c r="A31" s="140"/>
      <c r="B31" s="140"/>
      <c r="C31" s="39" t="s">
        <v>230</v>
      </c>
      <c r="D31" s="40">
        <v>2574</v>
      </c>
      <c r="E31" s="151"/>
      <c r="F31" s="40">
        <v>1701</v>
      </c>
      <c r="G31" s="151"/>
      <c r="H31" s="41">
        <v>8531</v>
      </c>
      <c r="I31" s="153"/>
      <c r="J31" s="149"/>
      <c r="K31" s="149"/>
    </row>
    <row r="32" spans="1:11" ht="24">
      <c r="A32" s="140"/>
      <c r="B32" s="140"/>
      <c r="C32" s="39" t="s">
        <v>231</v>
      </c>
      <c r="D32" s="40">
        <v>5364</v>
      </c>
      <c r="E32" s="151"/>
      <c r="F32" s="40">
        <v>1318</v>
      </c>
      <c r="G32" s="151"/>
      <c r="H32" s="41">
        <v>11380</v>
      </c>
      <c r="I32" s="153"/>
      <c r="J32" s="149"/>
      <c r="K32" s="149"/>
    </row>
    <row r="33" spans="1:11" ht="24">
      <c r="A33" s="140"/>
      <c r="B33" s="140"/>
      <c r="C33" s="39" t="s">
        <v>232</v>
      </c>
      <c r="D33" s="40">
        <v>7233</v>
      </c>
      <c r="E33" s="151"/>
      <c r="F33" s="40">
        <v>1737</v>
      </c>
      <c r="G33" s="151"/>
      <c r="H33" s="41">
        <v>9598</v>
      </c>
      <c r="I33" s="153"/>
      <c r="J33" s="149"/>
      <c r="K33" s="149"/>
    </row>
    <row r="34" spans="1:11" ht="24">
      <c r="A34" s="140"/>
      <c r="B34" s="140"/>
      <c r="C34" s="39" t="s">
        <v>233</v>
      </c>
      <c r="D34" s="40">
        <v>3328</v>
      </c>
      <c r="E34" s="151"/>
      <c r="F34" s="40">
        <v>779</v>
      </c>
      <c r="G34" s="151"/>
      <c r="H34" s="41">
        <v>6041</v>
      </c>
      <c r="I34" s="153"/>
      <c r="J34" s="149"/>
      <c r="K34" s="149"/>
    </row>
    <row r="35" spans="1:11" ht="12">
      <c r="A35" s="140"/>
      <c r="B35" s="140"/>
      <c r="C35" s="39" t="s">
        <v>234</v>
      </c>
      <c r="D35" s="40">
        <v>10275</v>
      </c>
      <c r="E35" s="151"/>
      <c r="F35" s="40">
        <v>6176</v>
      </c>
      <c r="G35" s="151"/>
      <c r="H35" s="41">
        <v>33427</v>
      </c>
      <c r="I35" s="153"/>
      <c r="J35" s="149"/>
      <c r="K35" s="149"/>
    </row>
    <row r="36" spans="1:11" ht="24">
      <c r="A36" s="140"/>
      <c r="B36" s="140"/>
      <c r="C36" s="39" t="s">
        <v>235</v>
      </c>
      <c r="D36" s="40">
        <v>8504</v>
      </c>
      <c r="E36" s="151"/>
      <c r="F36" s="40">
        <v>2288</v>
      </c>
      <c r="G36" s="151"/>
      <c r="H36" s="41">
        <v>11999</v>
      </c>
      <c r="I36" s="153"/>
      <c r="J36" s="149"/>
      <c r="K36" s="149"/>
    </row>
    <row r="37" spans="1:11" ht="24">
      <c r="A37" s="140"/>
      <c r="B37" s="140"/>
      <c r="C37" s="39" t="s">
        <v>236</v>
      </c>
      <c r="D37" s="40">
        <v>13803</v>
      </c>
      <c r="E37" s="151"/>
      <c r="F37" s="40">
        <v>1599</v>
      </c>
      <c r="G37" s="151"/>
      <c r="H37" s="41">
        <v>10970</v>
      </c>
      <c r="I37" s="153"/>
      <c r="J37" s="149"/>
      <c r="K37" s="149"/>
    </row>
    <row r="38" spans="1:11" ht="24">
      <c r="A38" s="140"/>
      <c r="B38" s="140"/>
      <c r="C38" s="39" t="s">
        <v>237</v>
      </c>
      <c r="D38" s="40">
        <v>7966</v>
      </c>
      <c r="E38" s="151"/>
      <c r="F38" s="40">
        <v>837</v>
      </c>
      <c r="G38" s="151"/>
      <c r="H38" s="41">
        <v>5160</v>
      </c>
      <c r="I38" s="153"/>
      <c r="J38" s="149"/>
      <c r="K38" s="149"/>
    </row>
    <row r="39" spans="1:11" ht="12">
      <c r="A39" s="140"/>
      <c r="B39" s="140"/>
      <c r="C39" s="39" t="s">
        <v>238</v>
      </c>
      <c r="D39" s="40">
        <v>7271</v>
      </c>
      <c r="E39" s="151"/>
      <c r="F39" s="40">
        <v>972</v>
      </c>
      <c r="G39" s="151"/>
      <c r="H39" s="41">
        <v>5656</v>
      </c>
      <c r="I39" s="154"/>
      <c r="J39" s="150"/>
      <c r="K39" s="149"/>
    </row>
    <row r="40" spans="1:11" ht="24">
      <c r="A40" s="140">
        <v>6</v>
      </c>
      <c r="B40" s="141" t="s">
        <v>239</v>
      </c>
      <c r="C40" s="39" t="s">
        <v>240</v>
      </c>
      <c r="D40" s="40">
        <v>161</v>
      </c>
      <c r="E40" s="151">
        <f>D40+D41+D42+D43+D44+D45</f>
        <v>19976</v>
      </c>
      <c r="F40" s="40">
        <v>233</v>
      </c>
      <c r="G40" s="151">
        <f>F40+F41+F42+F43+F44+F45</f>
        <v>2444</v>
      </c>
      <c r="H40" s="41">
        <v>1875</v>
      </c>
      <c r="I40" s="152">
        <f>H40+H41+H42+H43+H44+H45</f>
        <v>20942</v>
      </c>
      <c r="J40" s="148">
        <v>173</v>
      </c>
      <c r="K40" s="149"/>
    </row>
    <row r="41" spans="1:11" ht="24">
      <c r="A41" s="140"/>
      <c r="B41" s="141"/>
      <c r="C41" s="39" t="s">
        <v>241</v>
      </c>
      <c r="D41" s="40">
        <v>8494</v>
      </c>
      <c r="E41" s="151"/>
      <c r="F41" s="40">
        <v>671</v>
      </c>
      <c r="G41" s="151"/>
      <c r="H41" s="41">
        <v>6722</v>
      </c>
      <c r="I41" s="153"/>
      <c r="J41" s="149"/>
      <c r="K41" s="149"/>
    </row>
    <row r="42" spans="1:11" ht="24">
      <c r="A42" s="140"/>
      <c r="B42" s="141"/>
      <c r="C42" s="39" t="s">
        <v>242</v>
      </c>
      <c r="D42" s="40">
        <v>2558</v>
      </c>
      <c r="E42" s="151"/>
      <c r="F42" s="40">
        <v>279</v>
      </c>
      <c r="G42" s="151"/>
      <c r="H42" s="41">
        <v>2971</v>
      </c>
      <c r="I42" s="153"/>
      <c r="J42" s="149"/>
      <c r="K42" s="149"/>
    </row>
    <row r="43" spans="1:11" ht="12">
      <c r="A43" s="140"/>
      <c r="B43" s="141"/>
      <c r="C43" s="39" t="s">
        <v>243</v>
      </c>
      <c r="D43" s="40">
        <v>399</v>
      </c>
      <c r="E43" s="151"/>
      <c r="F43" s="40">
        <v>181</v>
      </c>
      <c r="G43" s="151"/>
      <c r="H43" s="41">
        <v>1497</v>
      </c>
      <c r="I43" s="153"/>
      <c r="J43" s="149"/>
      <c r="K43" s="149"/>
    </row>
    <row r="44" spans="1:11" ht="24">
      <c r="A44" s="140"/>
      <c r="B44" s="141"/>
      <c r="C44" s="39" t="s">
        <v>244</v>
      </c>
      <c r="D44" s="40">
        <v>7467</v>
      </c>
      <c r="E44" s="151"/>
      <c r="F44" s="40">
        <v>1007</v>
      </c>
      <c r="G44" s="151"/>
      <c r="H44" s="41">
        <v>6604</v>
      </c>
      <c r="I44" s="153"/>
      <c r="J44" s="149"/>
      <c r="K44" s="149"/>
    </row>
    <row r="45" spans="1:11" ht="24">
      <c r="A45" s="140"/>
      <c r="B45" s="141"/>
      <c r="C45" s="39" t="s">
        <v>245</v>
      </c>
      <c r="D45" s="40">
        <v>897</v>
      </c>
      <c r="E45" s="151"/>
      <c r="F45" s="40">
        <v>73</v>
      </c>
      <c r="G45" s="151"/>
      <c r="H45" s="41">
        <v>1273</v>
      </c>
      <c r="I45" s="154"/>
      <c r="J45" s="150"/>
      <c r="K45" s="149"/>
    </row>
    <row r="46" spans="1:11" ht="12">
      <c r="A46" s="140">
        <v>7</v>
      </c>
      <c r="B46" s="141" t="s">
        <v>246</v>
      </c>
      <c r="C46" s="39" t="s">
        <v>247</v>
      </c>
      <c r="D46" s="40">
        <v>4972</v>
      </c>
      <c r="E46" s="151">
        <f>D46+D47+D48+D49+D50+D51+D52+D53+D54</f>
        <v>70412</v>
      </c>
      <c r="F46" s="40">
        <v>780</v>
      </c>
      <c r="G46" s="151">
        <f>F46+F47+F48+F49+F50+F51+F52+F53+F54</f>
        <v>11532</v>
      </c>
      <c r="H46" s="41">
        <v>4970</v>
      </c>
      <c r="I46" s="152">
        <f>H46+H47+H48+H49+H50+H51+H52+H53+H54</f>
        <v>70001</v>
      </c>
      <c r="J46" s="148">
        <v>379</v>
      </c>
      <c r="K46" s="149"/>
    </row>
    <row r="47" spans="1:11" ht="12">
      <c r="A47" s="140"/>
      <c r="B47" s="141"/>
      <c r="C47" s="39" t="s">
        <v>248</v>
      </c>
      <c r="D47" s="40">
        <v>22665</v>
      </c>
      <c r="E47" s="151"/>
      <c r="F47" s="40">
        <v>3386</v>
      </c>
      <c r="G47" s="151"/>
      <c r="H47" s="41">
        <f>9053+12480</f>
        <v>21533</v>
      </c>
      <c r="I47" s="153"/>
      <c r="J47" s="149"/>
      <c r="K47" s="149"/>
    </row>
    <row r="48" spans="1:11" ht="24">
      <c r="A48" s="140"/>
      <c r="B48" s="141"/>
      <c r="C48" s="39" t="s">
        <v>249</v>
      </c>
      <c r="D48" s="40">
        <v>9483</v>
      </c>
      <c r="E48" s="151"/>
      <c r="F48" s="40">
        <v>1849</v>
      </c>
      <c r="G48" s="151"/>
      <c r="H48" s="41">
        <v>7929</v>
      </c>
      <c r="I48" s="153"/>
      <c r="J48" s="149"/>
      <c r="K48" s="149"/>
    </row>
    <row r="49" spans="1:11" ht="24">
      <c r="A49" s="140"/>
      <c r="B49" s="141"/>
      <c r="C49" s="39" t="s">
        <v>250</v>
      </c>
      <c r="D49" s="40">
        <v>5038</v>
      </c>
      <c r="E49" s="151"/>
      <c r="F49" s="40">
        <v>317</v>
      </c>
      <c r="G49" s="151"/>
      <c r="H49" s="41">
        <v>1946</v>
      </c>
      <c r="I49" s="153"/>
      <c r="J49" s="149"/>
      <c r="K49" s="149"/>
    </row>
    <row r="50" spans="1:11" ht="12">
      <c r="A50" s="140"/>
      <c r="B50" s="141"/>
      <c r="C50" s="39" t="s">
        <v>251</v>
      </c>
      <c r="D50" s="40">
        <v>8364</v>
      </c>
      <c r="E50" s="151"/>
      <c r="F50" s="40">
        <v>1397</v>
      </c>
      <c r="G50" s="151"/>
      <c r="H50" s="41">
        <v>8706</v>
      </c>
      <c r="I50" s="153"/>
      <c r="J50" s="149"/>
      <c r="K50" s="149"/>
    </row>
    <row r="51" spans="1:11" ht="12">
      <c r="A51" s="140"/>
      <c r="B51" s="141"/>
      <c r="C51" s="39" t="s">
        <v>252</v>
      </c>
      <c r="D51" s="40">
        <v>3663</v>
      </c>
      <c r="E51" s="151"/>
      <c r="F51" s="40">
        <v>1060</v>
      </c>
      <c r="G51" s="151"/>
      <c r="H51" s="41">
        <v>7481</v>
      </c>
      <c r="I51" s="153"/>
      <c r="J51" s="149"/>
      <c r="K51" s="149"/>
    </row>
    <row r="52" spans="1:11" ht="24">
      <c r="A52" s="140"/>
      <c r="B52" s="141"/>
      <c r="C52" s="39" t="s">
        <v>253</v>
      </c>
      <c r="D52" s="40">
        <v>3976</v>
      </c>
      <c r="E52" s="151"/>
      <c r="F52" s="40">
        <v>768</v>
      </c>
      <c r="G52" s="151"/>
      <c r="H52" s="41">
        <v>5152</v>
      </c>
      <c r="I52" s="153"/>
      <c r="J52" s="149"/>
      <c r="K52" s="149"/>
    </row>
    <row r="53" spans="1:11" ht="24">
      <c r="A53" s="140"/>
      <c r="B53" s="141"/>
      <c r="C53" s="39" t="s">
        <v>254</v>
      </c>
      <c r="D53" s="40">
        <v>7847</v>
      </c>
      <c r="E53" s="151"/>
      <c r="F53" s="40">
        <v>962</v>
      </c>
      <c r="G53" s="151"/>
      <c r="H53" s="41">
        <v>5919</v>
      </c>
      <c r="I53" s="153"/>
      <c r="J53" s="149"/>
      <c r="K53" s="149"/>
    </row>
    <row r="54" spans="1:11" ht="12">
      <c r="A54" s="140"/>
      <c r="B54" s="141"/>
      <c r="C54" s="39" t="s">
        <v>255</v>
      </c>
      <c r="D54" s="40">
        <v>4404</v>
      </c>
      <c r="E54" s="151"/>
      <c r="F54" s="40">
        <v>1013</v>
      </c>
      <c r="G54" s="151"/>
      <c r="H54" s="41">
        <v>6365</v>
      </c>
      <c r="I54" s="154"/>
      <c r="J54" s="150"/>
      <c r="K54" s="149"/>
    </row>
    <row r="55" spans="1:11" ht="24">
      <c r="A55" s="140">
        <v>8</v>
      </c>
      <c r="B55" s="141" t="s">
        <v>256</v>
      </c>
      <c r="C55" s="39" t="s">
        <v>257</v>
      </c>
      <c r="D55" s="40">
        <v>2851</v>
      </c>
      <c r="E55" s="151">
        <f>D55+D56+D57+D58+D59+D60+D61</f>
        <v>15219</v>
      </c>
      <c r="F55" s="40">
        <v>562</v>
      </c>
      <c r="G55" s="151">
        <f>F55+F56+F57+F58+F59+F60+F61</f>
        <v>4180</v>
      </c>
      <c r="H55" s="41">
        <v>3544</v>
      </c>
      <c r="I55" s="152">
        <f>H55+H56+H57+H58+H59+H60+H61</f>
        <v>35166</v>
      </c>
      <c r="J55" s="148">
        <v>103</v>
      </c>
      <c r="K55" s="149"/>
    </row>
    <row r="56" spans="1:11" ht="24">
      <c r="A56" s="140"/>
      <c r="B56" s="141"/>
      <c r="C56" s="39" t="s">
        <v>258</v>
      </c>
      <c r="D56" s="40">
        <v>1935</v>
      </c>
      <c r="E56" s="151"/>
      <c r="F56" s="40">
        <v>295</v>
      </c>
      <c r="G56" s="151"/>
      <c r="H56" s="41">
        <v>2147</v>
      </c>
      <c r="I56" s="153"/>
      <c r="J56" s="149"/>
      <c r="K56" s="149"/>
    </row>
    <row r="57" spans="1:11" ht="24">
      <c r="A57" s="140"/>
      <c r="B57" s="141"/>
      <c r="C57" s="39" t="s">
        <v>259</v>
      </c>
      <c r="D57" s="40">
        <v>2136</v>
      </c>
      <c r="E57" s="151"/>
      <c r="F57" s="40">
        <v>903</v>
      </c>
      <c r="G57" s="151"/>
      <c r="H57" s="41">
        <v>9788</v>
      </c>
      <c r="I57" s="153"/>
      <c r="J57" s="149"/>
      <c r="K57" s="149"/>
    </row>
    <row r="58" spans="1:11" ht="12">
      <c r="A58" s="140"/>
      <c r="B58" s="141"/>
      <c r="C58" s="39" t="s">
        <v>260</v>
      </c>
      <c r="D58" s="40">
        <v>961</v>
      </c>
      <c r="E58" s="151"/>
      <c r="F58" s="40">
        <v>405</v>
      </c>
      <c r="G58" s="151"/>
      <c r="H58" s="41">
        <v>4171</v>
      </c>
      <c r="I58" s="153"/>
      <c r="J58" s="149"/>
      <c r="K58" s="149"/>
    </row>
    <row r="59" spans="1:11" ht="24">
      <c r="A59" s="140"/>
      <c r="B59" s="141"/>
      <c r="C59" s="39" t="s">
        <v>261</v>
      </c>
      <c r="D59" s="40">
        <v>2462</v>
      </c>
      <c r="E59" s="151"/>
      <c r="F59" s="40">
        <v>619</v>
      </c>
      <c r="G59" s="151"/>
      <c r="H59" s="41">
        <v>4378</v>
      </c>
      <c r="I59" s="153"/>
      <c r="J59" s="149"/>
      <c r="K59" s="149"/>
    </row>
    <row r="60" spans="1:11" ht="24">
      <c r="A60" s="140"/>
      <c r="B60" s="141"/>
      <c r="C60" s="39" t="s">
        <v>262</v>
      </c>
      <c r="D60" s="40">
        <v>3293</v>
      </c>
      <c r="E60" s="151"/>
      <c r="F60" s="40">
        <v>911</v>
      </c>
      <c r="G60" s="151"/>
      <c r="H60" s="41">
        <v>6355</v>
      </c>
      <c r="I60" s="153"/>
      <c r="J60" s="149"/>
      <c r="K60" s="149"/>
    </row>
    <row r="61" spans="1:11" ht="24">
      <c r="A61" s="140"/>
      <c r="B61" s="141"/>
      <c r="C61" s="39" t="s">
        <v>263</v>
      </c>
      <c r="D61" s="40">
        <v>1581</v>
      </c>
      <c r="E61" s="151"/>
      <c r="F61" s="40">
        <v>485</v>
      </c>
      <c r="G61" s="151"/>
      <c r="H61" s="41">
        <v>4783</v>
      </c>
      <c r="I61" s="154"/>
      <c r="J61" s="150"/>
      <c r="K61" s="149"/>
    </row>
    <row r="62" spans="1:11" ht="24">
      <c r="A62" s="141">
        <v>9</v>
      </c>
      <c r="B62" s="141" t="s">
        <v>77</v>
      </c>
      <c r="C62" s="39" t="s">
        <v>264</v>
      </c>
      <c r="D62" s="40">
        <v>8014</v>
      </c>
      <c r="E62" s="151">
        <f>D62+D63+D64+D65+D66+D67+D68</f>
        <v>55541</v>
      </c>
      <c r="F62" s="40">
        <v>1305</v>
      </c>
      <c r="G62" s="151">
        <f>F62+F63+F64+F65+F66+F67+F68</f>
        <v>9350</v>
      </c>
      <c r="H62" s="41">
        <v>11374</v>
      </c>
      <c r="I62" s="152">
        <f>H62+H63+H64+H65+H66+H67+H68</f>
        <v>83783</v>
      </c>
      <c r="J62" s="148">
        <v>399</v>
      </c>
      <c r="K62" s="149"/>
    </row>
    <row r="63" spans="1:11" ht="24">
      <c r="A63" s="141"/>
      <c r="B63" s="141"/>
      <c r="C63" s="39" t="s">
        <v>265</v>
      </c>
      <c r="D63" s="40">
        <v>10441</v>
      </c>
      <c r="E63" s="151"/>
      <c r="F63" s="40">
        <v>1566</v>
      </c>
      <c r="G63" s="151"/>
      <c r="H63" s="41">
        <v>14064</v>
      </c>
      <c r="I63" s="153"/>
      <c r="J63" s="149"/>
      <c r="K63" s="149"/>
    </row>
    <row r="64" spans="1:11" ht="24">
      <c r="A64" s="141"/>
      <c r="B64" s="141"/>
      <c r="C64" s="39" t="s">
        <v>266</v>
      </c>
      <c r="D64" s="40">
        <v>5612</v>
      </c>
      <c r="E64" s="151"/>
      <c r="F64" s="40">
        <v>552</v>
      </c>
      <c r="G64" s="151"/>
      <c r="H64" s="41">
        <v>5060</v>
      </c>
      <c r="I64" s="153"/>
      <c r="J64" s="149"/>
      <c r="K64" s="149"/>
    </row>
    <row r="65" spans="1:11" ht="24">
      <c r="A65" s="141"/>
      <c r="B65" s="141"/>
      <c r="C65" s="39" t="s">
        <v>267</v>
      </c>
      <c r="D65" s="40">
        <v>6901</v>
      </c>
      <c r="E65" s="151"/>
      <c r="F65" s="40">
        <v>428</v>
      </c>
      <c r="G65" s="151"/>
      <c r="H65" s="41">
        <v>6114</v>
      </c>
      <c r="I65" s="153"/>
      <c r="J65" s="149"/>
      <c r="K65" s="149"/>
    </row>
    <row r="66" spans="1:11" ht="24">
      <c r="A66" s="141"/>
      <c r="B66" s="141"/>
      <c r="C66" s="39" t="s">
        <v>268</v>
      </c>
      <c r="D66" s="40">
        <v>10611</v>
      </c>
      <c r="E66" s="151"/>
      <c r="F66" s="40">
        <v>2279</v>
      </c>
      <c r="G66" s="151"/>
      <c r="H66" s="41">
        <v>17190</v>
      </c>
      <c r="I66" s="153"/>
      <c r="J66" s="149"/>
      <c r="K66" s="149"/>
    </row>
    <row r="67" spans="1:11" ht="12">
      <c r="A67" s="141"/>
      <c r="B67" s="141"/>
      <c r="C67" s="39" t="s">
        <v>269</v>
      </c>
      <c r="D67" s="40">
        <v>10482</v>
      </c>
      <c r="E67" s="151"/>
      <c r="F67" s="40">
        <v>2812</v>
      </c>
      <c r="G67" s="151"/>
      <c r="H67" s="41">
        <v>22515</v>
      </c>
      <c r="I67" s="153"/>
      <c r="J67" s="149"/>
      <c r="K67" s="149"/>
    </row>
    <row r="68" spans="1:11" ht="12">
      <c r="A68" s="141"/>
      <c r="B68" s="141"/>
      <c r="C68" s="39" t="s">
        <v>270</v>
      </c>
      <c r="D68" s="40">
        <v>3480</v>
      </c>
      <c r="E68" s="151"/>
      <c r="F68" s="40">
        <v>408</v>
      </c>
      <c r="G68" s="151"/>
      <c r="H68" s="41">
        <v>7466</v>
      </c>
      <c r="I68" s="154"/>
      <c r="J68" s="150"/>
      <c r="K68" s="149"/>
    </row>
    <row r="69" spans="1:11" ht="12">
      <c r="A69" s="141">
        <v>10</v>
      </c>
      <c r="B69" s="141" t="s">
        <v>78</v>
      </c>
      <c r="C69" s="39" t="s">
        <v>271</v>
      </c>
      <c r="D69" s="40">
        <v>4807</v>
      </c>
      <c r="E69" s="151">
        <f>D69+D70+D71+D72+D73</f>
        <v>58846</v>
      </c>
      <c r="F69" s="40">
        <v>1450</v>
      </c>
      <c r="G69" s="151">
        <f>F69+F70+F71+F72+F73</f>
        <v>8391</v>
      </c>
      <c r="H69" s="41">
        <v>8362</v>
      </c>
      <c r="I69" s="152">
        <f>H69+H70+H71+H72+H73</f>
        <v>53287</v>
      </c>
      <c r="J69" s="148">
        <f>362+33</f>
        <v>395</v>
      </c>
      <c r="K69" s="149"/>
    </row>
    <row r="70" spans="1:11" ht="12">
      <c r="A70" s="141"/>
      <c r="B70" s="141"/>
      <c r="C70" s="39" t="s">
        <v>272</v>
      </c>
      <c r="D70" s="40">
        <v>20884</v>
      </c>
      <c r="E70" s="151"/>
      <c r="F70" s="40">
        <v>2323</v>
      </c>
      <c r="G70" s="151"/>
      <c r="H70" s="41">
        <v>16056</v>
      </c>
      <c r="I70" s="153"/>
      <c r="J70" s="149"/>
      <c r="K70" s="149"/>
    </row>
    <row r="71" spans="1:11" ht="12">
      <c r="A71" s="141"/>
      <c r="B71" s="141"/>
      <c r="C71" s="39" t="s">
        <v>273</v>
      </c>
      <c r="D71" s="40">
        <v>9945</v>
      </c>
      <c r="E71" s="151"/>
      <c r="F71" s="40">
        <v>1204</v>
      </c>
      <c r="G71" s="151"/>
      <c r="H71" s="41">
        <v>9420</v>
      </c>
      <c r="I71" s="153"/>
      <c r="J71" s="149"/>
      <c r="K71" s="149"/>
    </row>
    <row r="72" spans="1:11" ht="24">
      <c r="A72" s="141"/>
      <c r="B72" s="141"/>
      <c r="C72" s="39" t="s">
        <v>274</v>
      </c>
      <c r="D72" s="40">
        <v>11354</v>
      </c>
      <c r="E72" s="151"/>
      <c r="F72" s="40">
        <v>1258</v>
      </c>
      <c r="G72" s="151"/>
      <c r="H72" s="41">
        <v>8732</v>
      </c>
      <c r="I72" s="153"/>
      <c r="J72" s="149"/>
      <c r="K72" s="149"/>
    </row>
    <row r="73" spans="1:11" ht="24">
      <c r="A73" s="141"/>
      <c r="B73" s="141"/>
      <c r="C73" s="39" t="s">
        <v>275</v>
      </c>
      <c r="D73" s="40">
        <v>11856</v>
      </c>
      <c r="E73" s="151"/>
      <c r="F73" s="40">
        <v>2156</v>
      </c>
      <c r="G73" s="151"/>
      <c r="H73" s="41">
        <v>10717</v>
      </c>
      <c r="I73" s="154"/>
      <c r="J73" s="150"/>
      <c r="K73" s="149"/>
    </row>
    <row r="74" spans="1:11" ht="12">
      <c r="A74" s="140">
        <v>11</v>
      </c>
      <c r="B74" s="141" t="s">
        <v>70</v>
      </c>
      <c r="C74" s="39" t="s">
        <v>276</v>
      </c>
      <c r="D74" s="40">
        <v>11877</v>
      </c>
      <c r="E74" s="151">
        <f>D74+D75+D76+D77+D78+D79</f>
        <v>48233</v>
      </c>
      <c r="F74" s="40">
        <v>4229</v>
      </c>
      <c r="G74" s="151">
        <f>F74+F75+F76+F77+F78+F79</f>
        <v>13241</v>
      </c>
      <c r="H74" s="41">
        <v>27913</v>
      </c>
      <c r="I74" s="152">
        <f>H74+H75+H76+H77+H78+H79</f>
        <v>59074</v>
      </c>
      <c r="J74" s="148">
        <v>334</v>
      </c>
      <c r="K74" s="149"/>
    </row>
    <row r="75" spans="1:11" ht="12">
      <c r="A75" s="140"/>
      <c r="B75" s="141"/>
      <c r="C75" s="39" t="s">
        <v>277</v>
      </c>
      <c r="D75" s="40">
        <v>6210</v>
      </c>
      <c r="E75" s="151"/>
      <c r="F75" s="40">
        <v>889</v>
      </c>
      <c r="G75" s="151"/>
      <c r="H75" s="41">
        <v>3106</v>
      </c>
      <c r="I75" s="153"/>
      <c r="J75" s="149"/>
      <c r="K75" s="149"/>
    </row>
    <row r="76" spans="1:11" ht="24">
      <c r="A76" s="140"/>
      <c r="B76" s="141"/>
      <c r="C76" s="39" t="s">
        <v>278</v>
      </c>
      <c r="D76" s="40">
        <v>10118</v>
      </c>
      <c r="E76" s="151"/>
      <c r="F76" s="40">
        <v>2970</v>
      </c>
      <c r="G76" s="151"/>
      <c r="H76" s="41">
        <v>12925</v>
      </c>
      <c r="I76" s="153"/>
      <c r="J76" s="149"/>
      <c r="K76" s="149"/>
    </row>
    <row r="77" spans="1:11" ht="24">
      <c r="A77" s="140"/>
      <c r="B77" s="141"/>
      <c r="C77" s="39" t="s">
        <v>279</v>
      </c>
      <c r="D77" s="40">
        <v>4917</v>
      </c>
      <c r="E77" s="151"/>
      <c r="F77" s="40">
        <v>1133</v>
      </c>
      <c r="G77" s="151"/>
      <c r="H77" s="41">
        <v>3099</v>
      </c>
      <c r="I77" s="153"/>
      <c r="J77" s="149"/>
      <c r="K77" s="149"/>
    </row>
    <row r="78" spans="1:11" ht="24">
      <c r="A78" s="140"/>
      <c r="B78" s="141"/>
      <c r="C78" s="39" t="s">
        <v>280</v>
      </c>
      <c r="D78" s="40">
        <v>6006</v>
      </c>
      <c r="E78" s="151"/>
      <c r="F78" s="40">
        <v>2458</v>
      </c>
      <c r="G78" s="151"/>
      <c r="H78" s="41">
        <v>7353</v>
      </c>
      <c r="I78" s="153"/>
      <c r="J78" s="149"/>
      <c r="K78" s="149"/>
    </row>
    <row r="79" spans="1:11" ht="12">
      <c r="A79" s="140"/>
      <c r="B79" s="141"/>
      <c r="C79" s="39" t="s">
        <v>281</v>
      </c>
      <c r="D79" s="40">
        <v>9105</v>
      </c>
      <c r="E79" s="151"/>
      <c r="F79" s="40">
        <v>1562</v>
      </c>
      <c r="G79" s="151"/>
      <c r="H79" s="41">
        <v>4678</v>
      </c>
      <c r="I79" s="154"/>
      <c r="J79" s="150"/>
      <c r="K79" s="149"/>
    </row>
    <row r="80" spans="1:11" ht="34.5">
      <c r="A80" s="42">
        <v>12</v>
      </c>
      <c r="B80" s="43" t="s">
        <v>282</v>
      </c>
      <c r="C80" s="39" t="s">
        <v>283</v>
      </c>
      <c r="D80" s="40">
        <v>15</v>
      </c>
      <c r="E80" s="40">
        <v>15</v>
      </c>
      <c r="F80" s="40">
        <v>0</v>
      </c>
      <c r="G80" s="40">
        <v>0</v>
      </c>
      <c r="H80" s="41">
        <v>50663</v>
      </c>
      <c r="I80" s="40">
        <v>50663</v>
      </c>
      <c r="J80" s="44">
        <v>200</v>
      </c>
      <c r="K80" s="150"/>
    </row>
    <row r="81" spans="1:11" ht="28.5" customHeight="1">
      <c r="A81" s="156" t="s">
        <v>284</v>
      </c>
      <c r="B81" s="156"/>
      <c r="C81" s="156"/>
      <c r="D81" s="156"/>
      <c r="E81" s="45">
        <f>E5+E10+E14+E19+E28+E40+E46+E55+E62+E69+E74+E80</f>
        <v>573838</v>
      </c>
      <c r="F81" s="45"/>
      <c r="G81" s="45">
        <f>G5+G10+G14+G19+G28+G40+G46+G55+G62+G69+G74+G80</f>
        <v>112676</v>
      </c>
      <c r="H81" s="45"/>
      <c r="I81" s="45">
        <f>I80+I74+I69+I62+I55+I46+I40+I28+I19+I14+I10+I5</f>
        <v>846888</v>
      </c>
      <c r="J81" s="46"/>
      <c r="K81" s="47"/>
    </row>
  </sheetData>
  <mergeCells count="78">
    <mergeCell ref="J5:J9"/>
    <mergeCell ref="I5:I9"/>
    <mergeCell ref="J28:J39"/>
    <mergeCell ref="I28:I39"/>
    <mergeCell ref="J19:J27"/>
    <mergeCell ref="I19:I27"/>
    <mergeCell ref="J14:J18"/>
    <mergeCell ref="I14:I18"/>
    <mergeCell ref="J55:J61"/>
    <mergeCell ref="I55:I61"/>
    <mergeCell ref="J46:J54"/>
    <mergeCell ref="I46:I54"/>
    <mergeCell ref="J40:J45"/>
    <mergeCell ref="I40:I45"/>
    <mergeCell ref="A81:D81"/>
    <mergeCell ref="J74:J79"/>
    <mergeCell ref="I74:I79"/>
    <mergeCell ref="J69:J73"/>
    <mergeCell ref="I69:I73"/>
    <mergeCell ref="J62:J68"/>
    <mergeCell ref="I62:I68"/>
    <mergeCell ref="A74:A79"/>
    <mergeCell ref="B74:B79"/>
    <mergeCell ref="E74:E79"/>
    <mergeCell ref="G74:G79"/>
    <mergeCell ref="A69:A73"/>
    <mergeCell ref="B69:B73"/>
    <mergeCell ref="E69:E73"/>
    <mergeCell ref="G69:G73"/>
    <mergeCell ref="A62:A68"/>
    <mergeCell ref="B62:B68"/>
    <mergeCell ref="E62:E68"/>
    <mergeCell ref="G62:G68"/>
    <mergeCell ref="A55:A61"/>
    <mergeCell ref="B55:B61"/>
    <mergeCell ref="E55:E61"/>
    <mergeCell ref="G55:G61"/>
    <mergeCell ref="A46:A54"/>
    <mergeCell ref="B46:B54"/>
    <mergeCell ref="E46:E54"/>
    <mergeCell ref="G46:G54"/>
    <mergeCell ref="B19:B27"/>
    <mergeCell ref="E19:E27"/>
    <mergeCell ref="G19:G27"/>
    <mergeCell ref="A40:A45"/>
    <mergeCell ref="B40:B45"/>
    <mergeCell ref="E40:E45"/>
    <mergeCell ref="G40:G45"/>
    <mergeCell ref="A28:A39"/>
    <mergeCell ref="B28:B39"/>
    <mergeCell ref="E28:E39"/>
    <mergeCell ref="G28:G39"/>
    <mergeCell ref="K5:K80"/>
    <mergeCell ref="A10:A13"/>
    <mergeCell ref="B10:B13"/>
    <mergeCell ref="E10:E13"/>
    <mergeCell ref="G10:G13"/>
    <mergeCell ref="I10:I13"/>
    <mergeCell ref="J10:J13"/>
    <mergeCell ref="A14:A18"/>
    <mergeCell ref="B14:B18"/>
    <mergeCell ref="E14:E18"/>
    <mergeCell ref="A5:A9"/>
    <mergeCell ref="B5:B9"/>
    <mergeCell ref="E5:E9"/>
    <mergeCell ref="G5:G9"/>
    <mergeCell ref="G14:G18"/>
    <mergeCell ref="A19:A27"/>
    <mergeCell ref="J1:K1"/>
    <mergeCell ref="A2:K2"/>
    <mergeCell ref="A3:A4"/>
    <mergeCell ref="B3:B4"/>
    <mergeCell ref="C3:C4"/>
    <mergeCell ref="D3:E4"/>
    <mergeCell ref="F3:G4"/>
    <mergeCell ref="H3:I4"/>
    <mergeCell ref="J3:J4"/>
    <mergeCell ref="K3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H24" sqref="H24"/>
    </sheetView>
  </sheetViews>
  <sheetFormatPr defaultRowHeight="15"/>
  <cols>
    <col min="2" max="2" width="22.28515625" bestFit="1" customWidth="1"/>
    <col min="3" max="3" width="25.140625" customWidth="1"/>
    <col min="4" max="4" width="29.140625" bestFit="1" customWidth="1"/>
    <col min="5" max="5" width="34.7109375" bestFit="1" customWidth="1"/>
    <col min="6" max="6" width="18.140625" customWidth="1"/>
  </cols>
  <sheetData>
    <row r="2" spans="2:6" ht="15.75">
      <c r="B2" s="54">
        <v>1529915</v>
      </c>
      <c r="C2" s="158">
        <f>B2/100000</f>
        <v>15.299149999999999</v>
      </c>
      <c r="D2" s="158">
        <f>B2*D5</f>
        <v>1223932</v>
      </c>
      <c r="E2" s="158">
        <f>D2-D2*E5</f>
        <v>979145.6</v>
      </c>
      <c r="F2" s="158">
        <f>E2*F5</f>
        <v>734359.2</v>
      </c>
    </row>
    <row r="4" spans="2:6">
      <c r="D4" t="s">
        <v>299</v>
      </c>
      <c r="E4" t="s">
        <v>300</v>
      </c>
      <c r="F4" t="s">
        <v>301</v>
      </c>
    </row>
    <row r="5" spans="2:6">
      <c r="D5" s="157">
        <v>0.8</v>
      </c>
      <c r="E5" s="157">
        <v>0.2</v>
      </c>
      <c r="F5" s="157">
        <v>0.75</v>
      </c>
    </row>
    <row r="6" spans="2:6">
      <c r="B6" t="s">
        <v>302</v>
      </c>
      <c r="C6" s="158">
        <f>C2*7457*7</f>
        <v>798600.33085000003</v>
      </c>
      <c r="D6" s="158">
        <f>C6*$D$5</f>
        <v>638880.26468000002</v>
      </c>
      <c r="E6" s="158">
        <f>D6-D6*$E$5</f>
        <v>511104.21174400003</v>
      </c>
      <c r="F6" s="158">
        <f>E6*$F$5</f>
        <v>383328.15880800004</v>
      </c>
    </row>
    <row r="7" spans="2:6">
      <c r="C7" s="158">
        <f>C2*2007.8*5</f>
        <v>153588.16684999998</v>
      </c>
      <c r="D7" s="158">
        <f>C7*$D$5</f>
        <v>122870.53347999998</v>
      </c>
      <c r="E7" s="158">
        <f>D7-D7*$E$5</f>
        <v>98296.426783999981</v>
      </c>
      <c r="F7" s="158">
        <f>E7*$F$5</f>
        <v>73722.320087999979</v>
      </c>
    </row>
    <row r="8" spans="2:6">
      <c r="C8" s="158">
        <f>C2*385*2</f>
        <v>11780.345499999999</v>
      </c>
      <c r="D8" s="158">
        <f>C8*$D$5</f>
        <v>9424.2764000000006</v>
      </c>
      <c r="E8" s="158">
        <f>D8-D8*$E$5</f>
        <v>7539.4211200000009</v>
      </c>
      <c r="F8" s="158">
        <f>E8*$F$5</f>
        <v>5654.5658400000011</v>
      </c>
    </row>
    <row r="9" spans="2:6">
      <c r="C9" s="158">
        <f>C2*24507</f>
        <v>374936.26905</v>
      </c>
      <c r="D9" s="158">
        <f>C9*$D$5</f>
        <v>299949.01524000004</v>
      </c>
      <c r="E9" s="158">
        <f>D9-D9*$E$5</f>
        <v>239959.21219200004</v>
      </c>
      <c r="F9" s="158">
        <f>E9*$F$5</f>
        <v>179969.40914400003</v>
      </c>
    </row>
    <row r="10" spans="2:6">
      <c r="C10" s="158">
        <f>C2*2300*3</f>
        <v>105564.13499999999</v>
      </c>
      <c r="D10" s="158">
        <f>C10*$D$5</f>
        <v>84451.308000000005</v>
      </c>
      <c r="E10" s="158">
        <f>D10-D10*$E$5</f>
        <v>67561.046400000007</v>
      </c>
      <c r="F10" s="158">
        <f>E10*$F$5</f>
        <v>50670.784800000009</v>
      </c>
    </row>
    <row r="11" spans="2:6">
      <c r="C11" s="158"/>
      <c r="D11" s="158"/>
      <c r="E11" s="158"/>
      <c r="F11" s="158"/>
    </row>
    <row r="12" spans="2:6">
      <c r="B12" t="s">
        <v>303</v>
      </c>
      <c r="C12" s="158">
        <f>C2*191.5</f>
        <v>2929.787225</v>
      </c>
      <c r="D12" s="158">
        <f>C12*$D$5</f>
        <v>2343.82978</v>
      </c>
      <c r="E12" s="158">
        <f t="shared" ref="E12:E17" si="0">D12-D12*$E$5</f>
        <v>1875.0638240000001</v>
      </c>
      <c r="F12" s="158">
        <f t="shared" ref="F12:F17" si="1">E12*$F$5</f>
        <v>1406.2978680000001</v>
      </c>
    </row>
    <row r="13" spans="2:6">
      <c r="C13" s="158">
        <f>C2*1053.7</f>
        <v>16120.714355</v>
      </c>
      <c r="D13" s="158">
        <f>C13*$D$5</f>
        <v>12896.571484</v>
      </c>
      <c r="E13" s="158">
        <f t="shared" si="0"/>
        <v>10317.257187200001</v>
      </c>
      <c r="F13" s="158">
        <f t="shared" si="1"/>
        <v>7737.9428904000006</v>
      </c>
    </row>
    <row r="14" spans="2:6">
      <c r="B14" t="s">
        <v>304</v>
      </c>
      <c r="C14" s="158">
        <f>C2*1861.9</f>
        <v>28485.487385</v>
      </c>
      <c r="D14" s="158">
        <f>C14*$D$5</f>
        <v>22788.389908000001</v>
      </c>
      <c r="E14" s="158">
        <f t="shared" si="0"/>
        <v>18230.711926399999</v>
      </c>
      <c r="F14" s="158">
        <f t="shared" si="1"/>
        <v>13673.0339448</v>
      </c>
    </row>
    <row r="15" spans="2:6">
      <c r="D15" s="158">
        <f>C15*$D$5</f>
        <v>0</v>
      </c>
      <c r="E15" s="158">
        <f t="shared" si="0"/>
        <v>0</v>
      </c>
      <c r="F15" s="158">
        <f t="shared" si="1"/>
        <v>0</v>
      </c>
    </row>
    <row r="16" spans="2:6">
      <c r="B16" t="s">
        <v>305</v>
      </c>
      <c r="C16" s="158">
        <f>[1]PrevaleceIncidence!$C$8*C2</f>
        <v>12181.183230000001</v>
      </c>
      <c r="D16" s="158">
        <f>C16*$D$5</f>
        <v>9744.9465840000012</v>
      </c>
      <c r="E16" s="158">
        <f t="shared" si="0"/>
        <v>7795.9572672000013</v>
      </c>
      <c r="F16" s="158">
        <f t="shared" si="1"/>
        <v>5846.9679504000014</v>
      </c>
    </row>
    <row r="17" spans="2:6">
      <c r="C17" s="158">
        <f>C2*[1]PrevaleceIncidence!$C$6</f>
        <v>5295.0358150000002</v>
      </c>
      <c r="D17" s="158">
        <f>C17*$D$5</f>
        <v>4236.028652</v>
      </c>
      <c r="E17" s="158">
        <f t="shared" si="0"/>
        <v>3388.8229216</v>
      </c>
      <c r="F17" s="158">
        <f t="shared" si="1"/>
        <v>2541.6171912</v>
      </c>
    </row>
    <row r="18" spans="2:6">
      <c r="F18" s="158"/>
    </row>
    <row r="19" spans="2:6">
      <c r="B19" t="s">
        <v>306</v>
      </c>
      <c r="F19">
        <v>1000</v>
      </c>
    </row>
    <row r="20" spans="2:6">
      <c r="B20" t="s">
        <v>307</v>
      </c>
      <c r="F20">
        <v>14000</v>
      </c>
    </row>
    <row r="22" spans="2:6">
      <c r="F22" s="158">
        <f>SUM(F6:F20)</f>
        <v>739551.09852480004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დეცენტრალიზაცია-სრული</vt:lpstr>
      <vt:lpstr>Sheet3</vt:lpstr>
      <vt:lpstr>მოსახლეობა vs აფთიაქი კერძო სექ</vt:lpstr>
      <vt:lpstr>მიზნობრივი ბენეფ vs აფთიაქი პრო</vt:lpstr>
      <vt:lpstr>აფთიაქები მეფინგი</vt:lpstr>
      <vt:lpstr>მედიკამენტების ხარჯვა</vt:lpstr>
      <vt:lpstr>მედიკამენტების ხარჯვის კომპონენ</vt:lpstr>
      <vt:lpstr>ბენეფიციარები</vt:lpstr>
      <vt:lpstr>ბენეფიციართა პროგნოზული რ-ბა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2019-03-11T13:33:58Z</dcterms:modified>
</cp:coreProperties>
</file>